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omments6.xml" ContentType="application/vnd.openxmlformats-officedocument.spreadsheetml.comments+xml"/>
  <Override PartName="/xl/comments7.xml" ContentType="application/vnd.openxmlformats-officedocument.spreadsheetml.comments+xml"/>
  <Override PartName="/xl/comments8.xml" ContentType="application/vnd.openxmlformats-officedocument.spreadsheetml.comments+xml"/>
  <Override PartName="/xl/comments9.xml" ContentType="application/vnd.openxmlformats-officedocument.spreadsheetml.comments+xml"/>
  <Override PartName="/xl/comments10.xml" ContentType="application/vnd.openxmlformats-officedocument.spreadsheetml.comments+xml"/>
  <Override PartName="/xl/comments11.xml" ContentType="application/vnd.openxmlformats-officedocument.spreadsheetml.comments+xml"/>
  <Override PartName="/xl/comments12.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codeName="ThisWorkbook" defaultThemeVersion="124226"/>
  <bookViews>
    <workbookView xWindow="1035" yWindow="1140" windowWidth="21060" windowHeight="10005" activeTab="2"/>
  </bookViews>
  <sheets>
    <sheet name="Y Concept" sheetId="17" r:id="rId1"/>
    <sheet name="Y Execution" sheetId="18" r:id="rId2"/>
    <sheet name="Y-2013-Q4" sheetId="19" r:id="rId3"/>
    <sheet name="Y-2013-Q3GlenRecap" sheetId="16" r:id="rId4"/>
    <sheet name="Y-2013-Q3" sheetId="20" r:id="rId5"/>
    <sheet name="Y-2013-Q2" sheetId="15" r:id="rId6"/>
    <sheet name="Y-2013-Q1" sheetId="14" r:id="rId7"/>
    <sheet name="Y-2012-Q4" sheetId="13" r:id="rId8"/>
    <sheet name="RECAP - Dec 20, 2012 PRO-FORMA" sheetId="12" r:id="rId9"/>
    <sheet name="YM-2012-Q3" sheetId="11" r:id="rId10"/>
    <sheet name="YM-2012-Q2" sheetId="7" r:id="rId11"/>
    <sheet name="YM-2012-Q1" sheetId="5" r:id="rId12"/>
    <sheet name="YM-2011-Q4" sheetId="3" r:id="rId13"/>
    <sheet name="Links" sheetId="4" r:id="rId14"/>
    <sheet name="YM Original" sheetId="2" r:id="rId15"/>
  </sheets>
  <calcPr calcId="145621" concurrentCalc="0"/>
</workbook>
</file>

<file path=xl/calcChain.xml><?xml version="1.0" encoding="utf-8"?>
<calcChain xmlns="http://schemas.openxmlformats.org/spreadsheetml/2006/main">
  <c r="M5" i="20" l="1"/>
  <c r="N5" i="20"/>
  <c r="O5" i="20"/>
  <c r="P5" i="20"/>
  <c r="M6" i="20"/>
  <c r="N6" i="20"/>
  <c r="O6" i="20"/>
  <c r="P6" i="20"/>
  <c r="L13" i="20"/>
  <c r="L12" i="20"/>
  <c r="M13" i="20"/>
  <c r="M12" i="20"/>
  <c r="N13" i="20"/>
  <c r="N12" i="20"/>
  <c r="O13" i="20"/>
  <c r="O12" i="20"/>
  <c r="P13" i="20"/>
  <c r="P12" i="20"/>
  <c r="Q13" i="20"/>
  <c r="Q12" i="20"/>
  <c r="R13" i="20"/>
  <c r="R12" i="20"/>
  <c r="S13" i="20"/>
  <c r="S12" i="20"/>
  <c r="T13" i="20"/>
  <c r="T12" i="20"/>
  <c r="U13" i="20"/>
  <c r="U12" i="20"/>
  <c r="V13" i="20"/>
  <c r="V12" i="20"/>
  <c r="E13" i="20"/>
  <c r="F13" i="20"/>
  <c r="G13" i="20"/>
  <c r="H13" i="20"/>
  <c r="I13" i="20"/>
  <c r="J13" i="20"/>
  <c r="K13" i="20"/>
  <c r="F14" i="20"/>
  <c r="M14" i="20"/>
  <c r="N14" i="20"/>
  <c r="O14" i="20"/>
  <c r="P14" i="20"/>
  <c r="Q14" i="20"/>
  <c r="R14" i="20"/>
  <c r="S14" i="20"/>
  <c r="T14" i="20"/>
  <c r="U14" i="20"/>
  <c r="V14" i="20"/>
  <c r="D15" i="20"/>
  <c r="E15" i="20"/>
  <c r="F15" i="20"/>
  <c r="G15" i="20"/>
  <c r="H15" i="20"/>
  <c r="I15" i="20"/>
  <c r="J15" i="20"/>
  <c r="K15" i="20"/>
  <c r="L15" i="20"/>
  <c r="M15" i="20"/>
  <c r="N15" i="20"/>
  <c r="O15" i="20"/>
  <c r="P15" i="20"/>
  <c r="Q15" i="20"/>
  <c r="R15" i="20"/>
  <c r="S15" i="20"/>
  <c r="T15" i="20"/>
  <c r="U15" i="20"/>
  <c r="V15" i="20"/>
  <c r="E17" i="20"/>
  <c r="F17" i="20"/>
  <c r="G17" i="20"/>
  <c r="H17" i="20"/>
  <c r="J17" i="20"/>
  <c r="K17" i="20"/>
  <c r="L18" i="20"/>
  <c r="L17" i="20"/>
  <c r="M18" i="20"/>
  <c r="M17" i="20"/>
  <c r="N18" i="20"/>
  <c r="N17" i="20"/>
  <c r="O18" i="20"/>
  <c r="O17" i="20"/>
  <c r="P18" i="20"/>
  <c r="P17" i="20"/>
  <c r="Q18" i="20"/>
  <c r="Q17" i="20"/>
  <c r="R18" i="20"/>
  <c r="R17" i="20"/>
  <c r="S18" i="20"/>
  <c r="S17" i="20"/>
  <c r="T18" i="20"/>
  <c r="T17" i="20"/>
  <c r="U18" i="20"/>
  <c r="U17" i="20"/>
  <c r="V18" i="20"/>
  <c r="V17" i="20"/>
  <c r="E18" i="20"/>
  <c r="F18" i="20"/>
  <c r="G18" i="20"/>
  <c r="H18" i="20"/>
  <c r="I18" i="20"/>
  <c r="J18" i="20"/>
  <c r="K18" i="20"/>
  <c r="E20" i="20"/>
  <c r="E19" i="20"/>
  <c r="F20" i="20"/>
  <c r="F19" i="20"/>
  <c r="G20" i="20"/>
  <c r="G19" i="20"/>
  <c r="H20" i="20"/>
  <c r="H19" i="20"/>
  <c r="I20" i="20"/>
  <c r="I19" i="20"/>
  <c r="D20" i="20"/>
  <c r="J20" i="20"/>
  <c r="K20" i="20"/>
  <c r="L20" i="20"/>
  <c r="M20" i="20"/>
  <c r="N20" i="20"/>
  <c r="O20" i="20"/>
  <c r="P20" i="20"/>
  <c r="Q20" i="20"/>
  <c r="R20" i="20"/>
  <c r="S20" i="20"/>
  <c r="T20" i="20"/>
  <c r="U20" i="20"/>
  <c r="V20" i="20"/>
  <c r="D22" i="20"/>
  <c r="I22" i="20"/>
  <c r="J22" i="20"/>
  <c r="K22" i="20"/>
  <c r="L22" i="20"/>
  <c r="M22" i="20"/>
  <c r="N22" i="20"/>
  <c r="O22" i="20"/>
  <c r="P22" i="20"/>
  <c r="Q22" i="20"/>
  <c r="R22" i="20"/>
  <c r="S22" i="20"/>
  <c r="T22" i="20"/>
  <c r="U22" i="20"/>
  <c r="V22" i="20"/>
  <c r="D23" i="20"/>
  <c r="J23" i="20"/>
  <c r="K23" i="20"/>
  <c r="L23" i="20"/>
  <c r="M23" i="20"/>
  <c r="N23" i="20"/>
  <c r="O23" i="20"/>
  <c r="P23" i="20"/>
  <c r="Q23" i="20"/>
  <c r="R23" i="20"/>
  <c r="S23" i="20"/>
  <c r="T23" i="20"/>
  <c r="U23" i="20"/>
  <c r="V23" i="20"/>
  <c r="D24" i="20"/>
  <c r="E24" i="20"/>
  <c r="F24" i="20"/>
  <c r="G24" i="20"/>
  <c r="H24" i="20"/>
  <c r="I24" i="20"/>
  <c r="J24" i="20"/>
  <c r="K24" i="20"/>
  <c r="L24" i="20"/>
  <c r="M24" i="20"/>
  <c r="N24" i="20"/>
  <c r="O24" i="20"/>
  <c r="P24" i="20"/>
  <c r="Q24" i="20"/>
  <c r="R24" i="20"/>
  <c r="S24" i="20"/>
  <c r="T24" i="20"/>
  <c r="U24" i="20"/>
  <c r="V24" i="20"/>
  <c r="I35" i="20"/>
  <c r="J36" i="20"/>
  <c r="J35" i="20"/>
  <c r="D80" i="20"/>
  <c r="D81" i="20"/>
  <c r="E80" i="20"/>
  <c r="E81" i="20"/>
  <c r="F80" i="20"/>
  <c r="F81" i="20"/>
  <c r="G80" i="20"/>
  <c r="G81" i="20"/>
  <c r="H80" i="20"/>
  <c r="H81" i="20"/>
  <c r="I80" i="20"/>
  <c r="I81" i="20"/>
  <c r="J80" i="20"/>
  <c r="J81" i="20"/>
  <c r="K35" i="20"/>
  <c r="K80" i="20"/>
  <c r="K81" i="20"/>
  <c r="L35" i="20"/>
  <c r="L71" i="20"/>
  <c r="L80" i="20"/>
  <c r="L81" i="20"/>
  <c r="M35" i="20"/>
  <c r="M80" i="20"/>
  <c r="M81" i="20"/>
  <c r="N35" i="20"/>
  <c r="L36" i="20"/>
  <c r="K40" i="20"/>
  <c r="L40" i="20"/>
  <c r="K42" i="20"/>
  <c r="L42" i="20"/>
  <c r="G52" i="20"/>
  <c r="H52" i="20"/>
  <c r="I52" i="20"/>
  <c r="J52" i="20"/>
  <c r="K52" i="20"/>
  <c r="L52" i="20"/>
  <c r="L54" i="20"/>
  <c r="L58" i="20"/>
  <c r="M42" i="20"/>
  <c r="M52" i="20"/>
  <c r="M54" i="20"/>
  <c r="M58" i="20"/>
  <c r="N71" i="20"/>
  <c r="N80" i="20"/>
  <c r="N81" i="20"/>
  <c r="O35" i="20"/>
  <c r="O80" i="20"/>
  <c r="O81" i="20"/>
  <c r="P35" i="20"/>
  <c r="N36" i="20"/>
  <c r="N40" i="20"/>
  <c r="N42" i="20"/>
  <c r="N52" i="20"/>
  <c r="N54" i="20"/>
  <c r="N58" i="20"/>
  <c r="O40" i="20"/>
  <c r="O42" i="20"/>
  <c r="O52" i="20"/>
  <c r="O54" i="20"/>
  <c r="O58" i="20"/>
  <c r="P71" i="20"/>
  <c r="P80" i="20"/>
  <c r="P81" i="20"/>
  <c r="Q35" i="20"/>
  <c r="P36" i="20"/>
  <c r="P40" i="20"/>
  <c r="P42" i="20"/>
  <c r="P52" i="20"/>
  <c r="P54" i="20"/>
  <c r="P58" i="20"/>
  <c r="Q36" i="20"/>
  <c r="Q40" i="20"/>
  <c r="Q42" i="20"/>
  <c r="Q52" i="20"/>
  <c r="Q54" i="20"/>
  <c r="Q58" i="20"/>
  <c r="Q71" i="20"/>
  <c r="Q80" i="20"/>
  <c r="Q81" i="20"/>
  <c r="R35" i="20"/>
  <c r="R71" i="20"/>
  <c r="R80" i="20"/>
  <c r="R81" i="20"/>
  <c r="S35" i="20"/>
  <c r="R36" i="20"/>
  <c r="R40" i="20"/>
  <c r="R42" i="20"/>
  <c r="R52" i="20"/>
  <c r="R54" i="20"/>
  <c r="R58" i="20"/>
  <c r="S71" i="20"/>
  <c r="S80" i="20"/>
  <c r="S81" i="20"/>
  <c r="T35" i="20"/>
  <c r="S36" i="20"/>
  <c r="T36" i="20"/>
  <c r="U36" i="20"/>
  <c r="V36" i="20"/>
  <c r="F38" i="20"/>
  <c r="I38" i="20"/>
  <c r="H40" i="20"/>
  <c r="J40" i="20"/>
  <c r="S40" i="20"/>
  <c r="T40" i="20"/>
  <c r="U40" i="20"/>
  <c r="V40" i="20"/>
  <c r="F42" i="20"/>
  <c r="G42" i="20"/>
  <c r="J42" i="20"/>
  <c r="S42" i="20"/>
  <c r="T42" i="20"/>
  <c r="U42" i="20"/>
  <c r="V42" i="20"/>
  <c r="H43" i="20"/>
  <c r="J43" i="20"/>
  <c r="K43" i="20"/>
  <c r="E44" i="20"/>
  <c r="F44" i="20"/>
  <c r="G44" i="20"/>
  <c r="H44" i="20"/>
  <c r="J44" i="20"/>
  <c r="K44" i="20"/>
  <c r="H48" i="20"/>
  <c r="J51" i="20"/>
  <c r="S52" i="20"/>
  <c r="T52" i="20"/>
  <c r="U52" i="20"/>
  <c r="V52" i="20"/>
  <c r="D54" i="20"/>
  <c r="E54" i="20"/>
  <c r="F54" i="20"/>
  <c r="G54" i="20"/>
  <c r="H54" i="20"/>
  <c r="I54" i="20"/>
  <c r="J54" i="20"/>
  <c r="K54" i="20"/>
  <c r="S54" i="20"/>
  <c r="T54" i="20"/>
  <c r="U54" i="20"/>
  <c r="V54" i="20"/>
  <c r="D58" i="20"/>
  <c r="E58" i="20"/>
  <c r="F58" i="20"/>
  <c r="G58" i="20"/>
  <c r="H58" i="20"/>
  <c r="I58" i="20"/>
  <c r="J58" i="20"/>
  <c r="K58" i="20"/>
  <c r="S58" i="20"/>
  <c r="T58" i="20"/>
  <c r="U58" i="20"/>
  <c r="V58" i="20"/>
  <c r="H60" i="20"/>
  <c r="D76" i="20"/>
  <c r="E76" i="20"/>
  <c r="F76" i="20"/>
  <c r="G76" i="20"/>
  <c r="H76" i="20"/>
  <c r="I76" i="20"/>
  <c r="J76" i="20"/>
  <c r="K76" i="20"/>
  <c r="L76" i="20"/>
  <c r="M76" i="20"/>
  <c r="N76" i="20"/>
  <c r="O76" i="20"/>
  <c r="P76" i="20"/>
  <c r="Q76" i="20"/>
  <c r="R76" i="20"/>
  <c r="S76" i="20"/>
  <c r="T76" i="20"/>
  <c r="U76" i="20"/>
  <c r="V76" i="20"/>
  <c r="D78" i="20"/>
  <c r="E78" i="20"/>
  <c r="F78" i="20"/>
  <c r="G78" i="20"/>
  <c r="H78" i="20"/>
  <c r="I78" i="20"/>
  <c r="J78" i="20"/>
  <c r="K78" i="20"/>
  <c r="L78" i="20"/>
  <c r="M78" i="20"/>
  <c r="N78" i="20"/>
  <c r="O78" i="20"/>
  <c r="P78" i="20"/>
  <c r="Q78" i="20"/>
  <c r="R78" i="20"/>
  <c r="S78" i="20"/>
  <c r="T78" i="20"/>
  <c r="U78" i="20"/>
  <c r="V78" i="20"/>
  <c r="T80" i="20"/>
  <c r="U80" i="20"/>
  <c r="V80" i="20"/>
  <c r="T81" i="20"/>
  <c r="U81" i="20"/>
  <c r="V81" i="20"/>
  <c r="E88" i="20"/>
  <c r="F88" i="20"/>
  <c r="G88" i="20"/>
  <c r="E92" i="20"/>
  <c r="F92" i="20"/>
  <c r="G92" i="20"/>
  <c r="H92" i="20"/>
  <c r="J92" i="20"/>
  <c r="K92" i="20"/>
  <c r="F94" i="20"/>
  <c r="G94" i="20"/>
  <c r="H94" i="20"/>
  <c r="I94" i="20"/>
  <c r="J94" i="20"/>
  <c r="K94" i="20"/>
  <c r="E96" i="20"/>
  <c r="F96" i="20"/>
  <c r="G96" i="20"/>
  <c r="H96" i="20"/>
  <c r="I96" i="20"/>
  <c r="J96" i="20"/>
  <c r="K96" i="20"/>
  <c r="I99" i="20"/>
  <c r="J99" i="20"/>
  <c r="K99" i="20"/>
  <c r="H106" i="20"/>
  <c r="I106" i="20"/>
  <c r="J106" i="20"/>
  <c r="K106" i="20"/>
  <c r="H107" i="20"/>
  <c r="I107" i="20"/>
  <c r="J107" i="20"/>
  <c r="K107" i="20"/>
  <c r="H108" i="20"/>
  <c r="I108" i="20"/>
  <c r="J108" i="20"/>
  <c r="K108" i="20"/>
  <c r="N5" i="19"/>
  <c r="O5" i="19"/>
  <c r="P5" i="19"/>
  <c r="Q5" i="19"/>
  <c r="R5" i="19"/>
  <c r="S5" i="19"/>
  <c r="T5" i="19"/>
  <c r="N6" i="19"/>
  <c r="O6" i="19"/>
  <c r="P6" i="19"/>
  <c r="Q6" i="19"/>
  <c r="R6" i="19"/>
  <c r="S6" i="19"/>
  <c r="T6" i="19"/>
  <c r="M13" i="19"/>
  <c r="M12" i="19"/>
  <c r="N13" i="19"/>
  <c r="N12" i="19"/>
  <c r="O13" i="19"/>
  <c r="O12" i="19"/>
  <c r="P13" i="19"/>
  <c r="P12" i="19"/>
  <c r="Q13" i="19"/>
  <c r="Q12" i="19"/>
  <c r="R13" i="19"/>
  <c r="R12" i="19"/>
  <c r="S13" i="19"/>
  <c r="S12" i="19"/>
  <c r="T13" i="19"/>
  <c r="T12" i="19"/>
  <c r="U13" i="19"/>
  <c r="U12" i="19"/>
  <c r="V13" i="19"/>
  <c r="V12" i="19"/>
  <c r="W13" i="19"/>
  <c r="W12" i="19"/>
  <c r="X13" i="19"/>
  <c r="X12" i="19"/>
  <c r="Y13" i="19"/>
  <c r="Y12" i="19"/>
  <c r="E13" i="19"/>
  <c r="F13" i="19"/>
  <c r="G13" i="19"/>
  <c r="H13" i="19"/>
  <c r="I13" i="19"/>
  <c r="J13" i="19"/>
  <c r="K13" i="19"/>
  <c r="L13" i="19"/>
  <c r="F14" i="19"/>
  <c r="N14" i="19"/>
  <c r="O14" i="19"/>
  <c r="P14" i="19"/>
  <c r="Q14" i="19"/>
  <c r="R14" i="19"/>
  <c r="S14" i="19"/>
  <c r="T14" i="19"/>
  <c r="U14" i="19"/>
  <c r="V14" i="19"/>
  <c r="W14" i="19"/>
  <c r="X14" i="19"/>
  <c r="Y14" i="19"/>
  <c r="D15" i="19"/>
  <c r="E15" i="19"/>
  <c r="F15" i="19"/>
  <c r="G15" i="19"/>
  <c r="H15" i="19"/>
  <c r="I15" i="19"/>
  <c r="J15" i="19"/>
  <c r="K15" i="19"/>
  <c r="L15" i="19"/>
  <c r="M15" i="19"/>
  <c r="N15" i="19"/>
  <c r="O15" i="19"/>
  <c r="P15" i="19"/>
  <c r="Q15" i="19"/>
  <c r="R15" i="19"/>
  <c r="S15" i="19"/>
  <c r="T15" i="19"/>
  <c r="U15" i="19"/>
  <c r="V15" i="19"/>
  <c r="W15" i="19"/>
  <c r="X15" i="19"/>
  <c r="Y15" i="19"/>
  <c r="E17" i="19"/>
  <c r="F17" i="19"/>
  <c r="G17" i="19"/>
  <c r="H17" i="19"/>
  <c r="J17" i="19"/>
  <c r="K17" i="19"/>
  <c r="M18" i="19"/>
  <c r="M17" i="19"/>
  <c r="N18" i="19"/>
  <c r="N17" i="19"/>
  <c r="O18" i="19"/>
  <c r="O17" i="19"/>
  <c r="P18" i="19"/>
  <c r="P17" i="19"/>
  <c r="Q18" i="19"/>
  <c r="Q17" i="19"/>
  <c r="R18" i="19"/>
  <c r="R17" i="19"/>
  <c r="S18" i="19"/>
  <c r="S17" i="19"/>
  <c r="T18" i="19"/>
  <c r="T17" i="19"/>
  <c r="U18" i="19"/>
  <c r="U17" i="19"/>
  <c r="V18" i="19"/>
  <c r="V17" i="19"/>
  <c r="W18" i="19"/>
  <c r="W17" i="19"/>
  <c r="X18" i="19"/>
  <c r="X17" i="19"/>
  <c r="Y18" i="19"/>
  <c r="Y17" i="19"/>
  <c r="E18" i="19"/>
  <c r="F18" i="19"/>
  <c r="G18" i="19"/>
  <c r="H18" i="19"/>
  <c r="I18" i="19"/>
  <c r="J18" i="19"/>
  <c r="K18" i="19"/>
  <c r="L18" i="19"/>
  <c r="E20" i="19"/>
  <c r="E19" i="19"/>
  <c r="F20" i="19"/>
  <c r="F19" i="19"/>
  <c r="G20" i="19"/>
  <c r="G19" i="19"/>
  <c r="H20" i="19"/>
  <c r="H19" i="19"/>
  <c r="I20" i="19"/>
  <c r="I19" i="19"/>
  <c r="N19" i="19"/>
  <c r="O19" i="19"/>
  <c r="P19" i="19"/>
  <c r="R19" i="19"/>
  <c r="S19" i="19"/>
  <c r="T19" i="19"/>
  <c r="U19" i="19"/>
  <c r="V19" i="19"/>
  <c r="W19" i="19"/>
  <c r="X19" i="19"/>
  <c r="Y19" i="19"/>
  <c r="D20" i="19"/>
  <c r="J20" i="19"/>
  <c r="K20" i="19"/>
  <c r="L20" i="19"/>
  <c r="M20" i="19"/>
  <c r="N20" i="19"/>
  <c r="O20" i="19"/>
  <c r="P20" i="19"/>
  <c r="Q20" i="19"/>
  <c r="R20" i="19"/>
  <c r="S20" i="19"/>
  <c r="T20" i="19"/>
  <c r="U20" i="19"/>
  <c r="V20" i="19"/>
  <c r="W20" i="19"/>
  <c r="X20" i="19"/>
  <c r="Y20" i="19"/>
  <c r="D22" i="19"/>
  <c r="I22" i="19"/>
  <c r="J22" i="19"/>
  <c r="K22" i="19"/>
  <c r="L22" i="19"/>
  <c r="M22" i="19"/>
  <c r="N22" i="19"/>
  <c r="O22" i="19"/>
  <c r="P22" i="19"/>
  <c r="Q22" i="19"/>
  <c r="R22" i="19"/>
  <c r="S22" i="19"/>
  <c r="T22" i="19"/>
  <c r="U22" i="19"/>
  <c r="V22" i="19"/>
  <c r="W22" i="19"/>
  <c r="X22" i="19"/>
  <c r="Y22" i="19"/>
  <c r="D23" i="19"/>
  <c r="J23" i="19"/>
  <c r="K23" i="19"/>
  <c r="L23" i="19"/>
  <c r="M23" i="19"/>
  <c r="N23" i="19"/>
  <c r="O23" i="19"/>
  <c r="P23" i="19"/>
  <c r="Q23" i="19"/>
  <c r="R23" i="19"/>
  <c r="S23" i="19"/>
  <c r="T23" i="19"/>
  <c r="U23" i="19"/>
  <c r="V23" i="19"/>
  <c r="W23" i="19"/>
  <c r="X23" i="19"/>
  <c r="Y23" i="19"/>
  <c r="D24" i="19"/>
  <c r="E24" i="19"/>
  <c r="F24" i="19"/>
  <c r="G24" i="19"/>
  <c r="H24" i="19"/>
  <c r="I24" i="19"/>
  <c r="J24" i="19"/>
  <c r="K24" i="19"/>
  <c r="L24" i="19"/>
  <c r="M24" i="19"/>
  <c r="N24" i="19"/>
  <c r="O24" i="19"/>
  <c r="P24" i="19"/>
  <c r="Q24" i="19"/>
  <c r="R24" i="19"/>
  <c r="S24" i="19"/>
  <c r="T24" i="19"/>
  <c r="U24" i="19"/>
  <c r="V24" i="19"/>
  <c r="W24" i="19"/>
  <c r="X24" i="19"/>
  <c r="Y24" i="19"/>
  <c r="I35" i="19"/>
  <c r="J36" i="19"/>
  <c r="J35" i="19"/>
  <c r="D80" i="19"/>
  <c r="D81" i="19"/>
  <c r="E80" i="19"/>
  <c r="E81" i="19"/>
  <c r="F80" i="19"/>
  <c r="F81" i="19"/>
  <c r="G80" i="19"/>
  <c r="G81" i="19"/>
  <c r="H70" i="19"/>
  <c r="H80" i="19"/>
  <c r="H81" i="19"/>
  <c r="I80" i="19"/>
  <c r="I81" i="19"/>
  <c r="J80" i="19"/>
  <c r="J81" i="19"/>
  <c r="K35" i="19"/>
  <c r="L35" i="19"/>
  <c r="K80" i="19"/>
  <c r="K81" i="19"/>
  <c r="L71" i="19"/>
  <c r="L80" i="19"/>
  <c r="L81" i="19"/>
  <c r="M35" i="19"/>
  <c r="M80" i="19"/>
  <c r="M81" i="19"/>
  <c r="N35" i="19"/>
  <c r="L36" i="19"/>
  <c r="H40" i="19"/>
  <c r="J40" i="19"/>
  <c r="L40" i="19"/>
  <c r="J42" i="19"/>
  <c r="K42" i="19"/>
  <c r="L42" i="19"/>
  <c r="J43" i="19"/>
  <c r="K43" i="19"/>
  <c r="L43" i="19"/>
  <c r="J44" i="19"/>
  <c r="K44" i="19"/>
  <c r="L44" i="19"/>
  <c r="L47" i="19"/>
  <c r="G52" i="19"/>
  <c r="H52" i="19"/>
  <c r="I52" i="19"/>
  <c r="J52" i="19"/>
  <c r="K52" i="19"/>
  <c r="L52" i="19"/>
  <c r="L54" i="19"/>
  <c r="L58" i="19"/>
  <c r="M52" i="19"/>
  <c r="M54" i="19"/>
  <c r="M58" i="19"/>
  <c r="N71" i="19"/>
  <c r="N80" i="19"/>
  <c r="N81" i="19"/>
  <c r="O35" i="19"/>
  <c r="O80" i="19"/>
  <c r="O81" i="19"/>
  <c r="P35" i="19"/>
  <c r="N36" i="19"/>
  <c r="N42" i="19"/>
  <c r="N52" i="19"/>
  <c r="N54" i="19"/>
  <c r="N58" i="19"/>
  <c r="O42" i="19"/>
  <c r="O52" i="19"/>
  <c r="O54" i="19"/>
  <c r="O58" i="19"/>
  <c r="P71" i="19"/>
  <c r="P80" i="19"/>
  <c r="P81" i="19"/>
  <c r="Q35" i="19"/>
  <c r="Q80" i="19"/>
  <c r="Q81" i="19"/>
  <c r="R35" i="19"/>
  <c r="P36" i="19"/>
  <c r="P42" i="19"/>
  <c r="P52" i="19"/>
  <c r="P54" i="19"/>
  <c r="P58" i="19"/>
  <c r="Q42" i="19"/>
  <c r="Q52" i="19"/>
  <c r="Q54" i="19"/>
  <c r="Q58" i="19"/>
  <c r="R71" i="19"/>
  <c r="R80" i="19"/>
  <c r="R81" i="19"/>
  <c r="S35" i="19"/>
  <c r="S80" i="19"/>
  <c r="S81" i="19"/>
  <c r="T35" i="19"/>
  <c r="R36" i="19"/>
  <c r="R42" i="19"/>
  <c r="R52" i="19"/>
  <c r="R54" i="19"/>
  <c r="R58" i="19"/>
  <c r="S42" i="19"/>
  <c r="S52" i="19"/>
  <c r="S54" i="19"/>
  <c r="S58" i="19"/>
  <c r="T71" i="19"/>
  <c r="T80" i="19"/>
  <c r="T81" i="19"/>
  <c r="U35" i="19"/>
  <c r="U36" i="19"/>
  <c r="T52" i="19"/>
  <c r="U52" i="19"/>
  <c r="U54" i="19"/>
  <c r="U58" i="19"/>
  <c r="U71" i="19"/>
  <c r="U80" i="19"/>
  <c r="U81" i="19"/>
  <c r="V35" i="19"/>
  <c r="T36" i="19"/>
  <c r="V36" i="19"/>
  <c r="W36" i="19"/>
  <c r="X36" i="19"/>
  <c r="Y36" i="19"/>
  <c r="F38" i="19"/>
  <c r="I38" i="19"/>
  <c r="K40" i="19"/>
  <c r="V40" i="19"/>
  <c r="W40" i="19"/>
  <c r="X40" i="19"/>
  <c r="Y40" i="19"/>
  <c r="F42" i="19"/>
  <c r="G42" i="19"/>
  <c r="T42" i="19"/>
  <c r="V42" i="19"/>
  <c r="W42" i="19"/>
  <c r="X42" i="19"/>
  <c r="Y42" i="19"/>
  <c r="H43" i="19"/>
  <c r="E44" i="19"/>
  <c r="F44" i="19"/>
  <c r="G44" i="19"/>
  <c r="H44" i="19"/>
  <c r="H48" i="19"/>
  <c r="J51" i="19"/>
  <c r="V52" i="19"/>
  <c r="W52" i="19"/>
  <c r="X52" i="19"/>
  <c r="Y52" i="19"/>
  <c r="D54" i="19"/>
  <c r="E54" i="19"/>
  <c r="F54" i="19"/>
  <c r="G54" i="19"/>
  <c r="H54" i="19"/>
  <c r="I54" i="19"/>
  <c r="J54" i="19"/>
  <c r="K54" i="19"/>
  <c r="T54" i="19"/>
  <c r="V54" i="19"/>
  <c r="W54" i="19"/>
  <c r="X54" i="19"/>
  <c r="Y54" i="19"/>
  <c r="D58" i="19"/>
  <c r="E58" i="19"/>
  <c r="F58" i="19"/>
  <c r="G58" i="19"/>
  <c r="H58" i="19"/>
  <c r="I58" i="19"/>
  <c r="J58" i="19"/>
  <c r="K58" i="19"/>
  <c r="T58" i="19"/>
  <c r="V58" i="19"/>
  <c r="W58" i="19"/>
  <c r="X58" i="19"/>
  <c r="Y58" i="19"/>
  <c r="H60" i="19"/>
  <c r="V71" i="19"/>
  <c r="D76" i="19"/>
  <c r="E76" i="19"/>
  <c r="F76" i="19"/>
  <c r="G76" i="19"/>
  <c r="H76" i="19"/>
  <c r="I76" i="19"/>
  <c r="J76" i="19"/>
  <c r="K76" i="19"/>
  <c r="L76" i="19"/>
  <c r="M76" i="19"/>
  <c r="N76" i="19"/>
  <c r="O76" i="19"/>
  <c r="P76" i="19"/>
  <c r="Q76" i="19"/>
  <c r="R76" i="19"/>
  <c r="S76" i="19"/>
  <c r="T76" i="19"/>
  <c r="U76" i="19"/>
  <c r="V76" i="19"/>
  <c r="W76" i="19"/>
  <c r="X76" i="19"/>
  <c r="Y76" i="19"/>
  <c r="D78" i="19"/>
  <c r="E78" i="19"/>
  <c r="F78" i="19"/>
  <c r="G78" i="19"/>
  <c r="H78" i="19"/>
  <c r="I78" i="19"/>
  <c r="J78" i="19"/>
  <c r="K78" i="19"/>
  <c r="L78" i="19"/>
  <c r="M78" i="19"/>
  <c r="N78" i="19"/>
  <c r="O78" i="19"/>
  <c r="P78" i="19"/>
  <c r="Q78" i="19"/>
  <c r="R78" i="19"/>
  <c r="S78" i="19"/>
  <c r="T78" i="19"/>
  <c r="U78" i="19"/>
  <c r="V78" i="19"/>
  <c r="W78" i="19"/>
  <c r="X78" i="19"/>
  <c r="Y78" i="19"/>
  <c r="V80" i="19"/>
  <c r="W80" i="19"/>
  <c r="X80" i="19"/>
  <c r="Y80" i="19"/>
  <c r="V81" i="19"/>
  <c r="W81" i="19"/>
  <c r="X81" i="19"/>
  <c r="Y81" i="19"/>
  <c r="H85" i="19"/>
  <c r="E88" i="19"/>
  <c r="F88" i="19"/>
  <c r="G88" i="19"/>
  <c r="E92" i="19"/>
  <c r="F92" i="19"/>
  <c r="G92" i="19"/>
  <c r="H92" i="19"/>
  <c r="J92" i="19"/>
  <c r="K92" i="19"/>
  <c r="L92" i="19"/>
  <c r="F94" i="19"/>
  <c r="G94" i="19"/>
  <c r="H94" i="19"/>
  <c r="I94" i="19"/>
  <c r="J94" i="19"/>
  <c r="K94" i="19"/>
  <c r="L94" i="19"/>
  <c r="E96" i="19"/>
  <c r="F96" i="19"/>
  <c r="G96" i="19"/>
  <c r="H96" i="19"/>
  <c r="I96" i="19"/>
  <c r="J96" i="19"/>
  <c r="K96" i="19"/>
  <c r="L96" i="19"/>
  <c r="I99" i="19"/>
  <c r="J99" i="19"/>
  <c r="K99" i="19"/>
  <c r="L99" i="19"/>
  <c r="L100" i="19"/>
  <c r="H106" i="19"/>
  <c r="I106" i="19"/>
  <c r="J106" i="19"/>
  <c r="K106" i="19"/>
  <c r="L106" i="19"/>
  <c r="H107" i="19"/>
  <c r="I107" i="19"/>
  <c r="J107" i="19"/>
  <c r="K107" i="19"/>
  <c r="L107" i="19"/>
  <c r="H108" i="19"/>
  <c r="I108" i="19"/>
  <c r="J108" i="19"/>
  <c r="K108" i="19"/>
  <c r="L108" i="19"/>
  <c r="H55" i="17"/>
  <c r="E55" i="17"/>
  <c r="D55" i="17"/>
  <c r="P107" i="17"/>
  <c r="P106" i="17"/>
  <c r="P105" i="17"/>
  <c r="P104" i="17"/>
  <c r="P103" i="17"/>
  <c r="P102" i="17"/>
  <c r="P101" i="17"/>
  <c r="P100" i="17"/>
  <c r="P99" i="17"/>
  <c r="P98" i="17"/>
  <c r="P97" i="17"/>
  <c r="P96" i="17"/>
  <c r="P95" i="17"/>
  <c r="P94" i="17"/>
  <c r="P93" i="17"/>
  <c r="P92" i="17"/>
  <c r="P91" i="17"/>
  <c r="P90" i="17"/>
  <c r="P89" i="17"/>
  <c r="P88" i="17"/>
  <c r="P87" i="17"/>
  <c r="P86" i="17"/>
  <c r="P85" i="17"/>
  <c r="P84" i="17"/>
  <c r="P83" i="17"/>
  <c r="P82" i="17"/>
  <c r="P81" i="17"/>
  <c r="P80" i="17"/>
  <c r="P79" i="17"/>
  <c r="P78" i="17"/>
  <c r="P77" i="17"/>
  <c r="P76" i="17"/>
  <c r="P75" i="17"/>
  <c r="P74" i="17"/>
  <c r="P73" i="17"/>
  <c r="P72" i="17"/>
  <c r="P71" i="17"/>
  <c r="P70" i="17"/>
  <c r="P69" i="17"/>
  <c r="P68" i="17"/>
  <c r="P67" i="17"/>
  <c r="P66" i="17"/>
  <c r="P65" i="17"/>
  <c r="P64" i="17"/>
  <c r="P63" i="17"/>
  <c r="P62" i="17"/>
  <c r="P61" i="17"/>
  <c r="P60" i="17"/>
  <c r="P59" i="17"/>
  <c r="P58" i="17"/>
  <c r="P57" i="17"/>
  <c r="P56" i="17"/>
  <c r="P54" i="17"/>
  <c r="P53" i="17"/>
  <c r="P52" i="17"/>
  <c r="P51" i="17"/>
  <c r="P50" i="17"/>
  <c r="P49" i="17"/>
  <c r="P48" i="17"/>
  <c r="P47" i="17"/>
  <c r="P46" i="17"/>
  <c r="P45" i="17"/>
  <c r="P44" i="17"/>
  <c r="P43" i="17"/>
  <c r="P42" i="17"/>
  <c r="P41" i="17"/>
  <c r="P40" i="17"/>
  <c r="P39" i="17"/>
  <c r="P38" i="17"/>
  <c r="P37" i="17"/>
  <c r="P36" i="17"/>
  <c r="P35" i="17"/>
  <c r="P34" i="17"/>
  <c r="P33" i="17"/>
  <c r="P32" i="17"/>
  <c r="P31" i="17"/>
  <c r="P30" i="17"/>
  <c r="P29" i="17"/>
  <c r="P28" i="17"/>
  <c r="P27" i="17"/>
  <c r="P26" i="17"/>
  <c r="P25" i="17"/>
  <c r="P24" i="17"/>
  <c r="P23" i="17"/>
  <c r="P22" i="17"/>
  <c r="P21" i="17"/>
  <c r="P20" i="17"/>
  <c r="P19" i="17"/>
  <c r="P18" i="17"/>
  <c r="P17" i="17"/>
  <c r="P16" i="17"/>
  <c r="P15" i="17"/>
  <c r="P14" i="17"/>
  <c r="P13" i="17"/>
  <c r="P12" i="17"/>
  <c r="P11" i="17"/>
  <c r="P10" i="17"/>
  <c r="P9" i="17"/>
  <c r="P8" i="17"/>
  <c r="P7" i="17"/>
  <c r="P6" i="17"/>
  <c r="P5" i="17"/>
  <c r="P55" i="17"/>
  <c r="P71" i="16"/>
  <c r="T35" i="16"/>
  <c r="S35" i="16"/>
  <c r="R35" i="16"/>
  <c r="Q35" i="16"/>
  <c r="P35" i="16"/>
  <c r="V40" i="16"/>
  <c r="U40" i="16"/>
  <c r="P54" i="16"/>
  <c r="P58" i="16"/>
  <c r="Q40" i="16"/>
  <c r="Q54" i="16"/>
  <c r="Q58" i="16"/>
  <c r="Q80" i="16"/>
  <c r="P80" i="16"/>
  <c r="P81" i="16"/>
  <c r="Q81" i="16"/>
  <c r="R80" i="16"/>
  <c r="R81" i="16"/>
  <c r="R40" i="16"/>
  <c r="R54" i="16"/>
  <c r="R58" i="16"/>
  <c r="S80" i="16"/>
  <c r="S81" i="16"/>
  <c r="T40" i="16"/>
  <c r="S40" i="16"/>
  <c r="C72" i="17"/>
  <c r="G72" i="17"/>
  <c r="C57" i="17"/>
  <c r="F57" i="17"/>
  <c r="C58" i="17"/>
  <c r="F58" i="17"/>
  <c r="C55" i="17"/>
  <c r="F55" i="17"/>
  <c r="C56" i="17"/>
  <c r="F56" i="17"/>
  <c r="C59" i="17"/>
  <c r="F59" i="17"/>
  <c r="C60" i="17"/>
  <c r="F60" i="17"/>
  <c r="C61" i="17"/>
  <c r="F61" i="17"/>
  <c r="C62" i="17"/>
  <c r="F62" i="17"/>
  <c r="C63" i="17"/>
  <c r="F63" i="17"/>
  <c r="C64" i="17"/>
  <c r="F64" i="17"/>
  <c r="C65" i="17"/>
  <c r="F65" i="17"/>
  <c r="C66" i="17"/>
  <c r="F66" i="17"/>
  <c r="C67" i="17"/>
  <c r="F67" i="17"/>
  <c r="C68" i="17"/>
  <c r="F68" i="17"/>
  <c r="C69" i="17"/>
  <c r="F69" i="17"/>
  <c r="C70" i="17"/>
  <c r="F70" i="17"/>
  <c r="C71" i="17"/>
  <c r="F71" i="17"/>
  <c r="F72" i="17"/>
  <c r="I72" i="17"/>
  <c r="R72" i="17"/>
  <c r="N72" i="17"/>
  <c r="C73" i="17"/>
  <c r="G73" i="17"/>
  <c r="F73" i="17"/>
  <c r="W72" i="17"/>
  <c r="H73" i="17"/>
  <c r="I73" i="17"/>
  <c r="R73" i="17"/>
  <c r="N73" i="17"/>
  <c r="C74" i="17"/>
  <c r="G74" i="17"/>
  <c r="F74" i="17"/>
  <c r="I74" i="17"/>
  <c r="R74" i="17"/>
  <c r="N74" i="17"/>
  <c r="C75" i="17"/>
  <c r="G75" i="17"/>
  <c r="F75" i="17"/>
  <c r="I75" i="17"/>
  <c r="R75" i="17"/>
  <c r="N75" i="17"/>
  <c r="C76" i="17"/>
  <c r="G76" i="17"/>
  <c r="F76" i="17"/>
  <c r="I76" i="17"/>
  <c r="R76" i="17"/>
  <c r="N76" i="17"/>
  <c r="C77" i="17"/>
  <c r="G77" i="17"/>
  <c r="F77" i="17"/>
  <c r="I77" i="17"/>
  <c r="R77" i="17"/>
  <c r="N77" i="17"/>
  <c r="C78" i="17"/>
  <c r="G78" i="17"/>
  <c r="F78" i="17"/>
  <c r="I78" i="17"/>
  <c r="R78" i="17"/>
  <c r="N78" i="17"/>
  <c r="C79" i="17"/>
  <c r="G79" i="17"/>
  <c r="F79" i="17"/>
  <c r="I79" i="17"/>
  <c r="R79" i="17"/>
  <c r="N79" i="17"/>
  <c r="C80" i="17"/>
  <c r="G80" i="17"/>
  <c r="F80" i="17"/>
  <c r="I80" i="17"/>
  <c r="R80" i="17"/>
  <c r="N80" i="17"/>
  <c r="C81" i="17"/>
  <c r="G81" i="17"/>
  <c r="F81" i="17"/>
  <c r="I81" i="17"/>
  <c r="R81" i="17"/>
  <c r="N81" i="17"/>
  <c r="C82" i="17"/>
  <c r="G82" i="17"/>
  <c r="F82" i="17"/>
  <c r="I82" i="17"/>
  <c r="R82" i="17"/>
  <c r="N82" i="17"/>
  <c r="C83" i="17"/>
  <c r="G83" i="17"/>
  <c r="F83" i="17"/>
  <c r="I83" i="17"/>
  <c r="R83" i="17"/>
  <c r="N83" i="17"/>
  <c r="C84" i="17"/>
  <c r="G84" i="17"/>
  <c r="F84" i="17"/>
  <c r="I84" i="17"/>
  <c r="R84" i="17"/>
  <c r="N84" i="17"/>
  <c r="C85" i="17"/>
  <c r="G85" i="17"/>
  <c r="F85" i="17"/>
  <c r="I85" i="17"/>
  <c r="R85" i="17"/>
  <c r="N85" i="17"/>
  <c r="I71" i="17"/>
  <c r="G71" i="17"/>
  <c r="R71" i="17"/>
  <c r="N71" i="17"/>
  <c r="I70" i="17"/>
  <c r="G70" i="17"/>
  <c r="R70" i="17"/>
  <c r="N70" i="17"/>
  <c r="I69" i="17"/>
  <c r="G69" i="17"/>
  <c r="R69" i="17"/>
  <c r="N69" i="17"/>
  <c r="I68" i="17"/>
  <c r="G68" i="17"/>
  <c r="R68" i="17"/>
  <c r="N68" i="17"/>
  <c r="I67" i="17"/>
  <c r="G67" i="17"/>
  <c r="R67" i="17"/>
  <c r="N67" i="17"/>
  <c r="I66" i="17"/>
  <c r="G66" i="17"/>
  <c r="R66" i="17"/>
  <c r="N66" i="17"/>
  <c r="I64" i="17"/>
  <c r="G64" i="17"/>
  <c r="R64" i="17"/>
  <c r="N64" i="17"/>
  <c r="I65" i="17"/>
  <c r="G65" i="17"/>
  <c r="R65" i="17"/>
  <c r="N65" i="17"/>
  <c r="I63" i="17"/>
  <c r="G63" i="17"/>
  <c r="R63" i="17"/>
  <c r="N63" i="17"/>
  <c r="I62" i="17"/>
  <c r="G62" i="17"/>
  <c r="R62" i="17"/>
  <c r="N62" i="17"/>
  <c r="I61" i="17"/>
  <c r="G61" i="17"/>
  <c r="R61" i="17"/>
  <c r="N61" i="17"/>
  <c r="I60" i="17"/>
  <c r="G60" i="17"/>
  <c r="R60" i="17"/>
  <c r="N60" i="17"/>
  <c r="I59" i="17"/>
  <c r="G59" i="17"/>
  <c r="R59" i="17"/>
  <c r="N59" i="17"/>
  <c r="I58" i="17"/>
  <c r="G58" i="17"/>
  <c r="R58" i="17"/>
  <c r="N58" i="17"/>
  <c r="I57" i="17"/>
  <c r="G57" i="17"/>
  <c r="R57" i="17"/>
  <c r="N57" i="17"/>
  <c r="I56" i="17"/>
  <c r="G56" i="17"/>
  <c r="R56" i="17"/>
  <c r="N56" i="17"/>
  <c r="Q76" i="16"/>
  <c r="P76" i="16"/>
  <c r="P78" i="16"/>
  <c r="Q78" i="16"/>
  <c r="Q82" i="16"/>
  <c r="P82" i="16"/>
  <c r="N82" i="16"/>
  <c r="O82" i="16"/>
  <c r="M54" i="16"/>
  <c r="M58" i="16"/>
  <c r="M76" i="16"/>
  <c r="M78" i="16"/>
  <c r="M82" i="16"/>
  <c r="L13" i="16"/>
  <c r="L18" i="16"/>
  <c r="L22" i="16"/>
  <c r="J7" i="16"/>
  <c r="H56" i="17"/>
  <c r="T55" i="17"/>
  <c r="L15" i="16"/>
  <c r="L20" i="16"/>
  <c r="L23" i="16"/>
  <c r="L58" i="16"/>
  <c r="L76" i="16"/>
  <c r="L78" i="16"/>
  <c r="L82" i="16"/>
  <c r="B5" i="17"/>
  <c r="B6" i="17"/>
  <c r="B7" i="17"/>
  <c r="B8" i="17"/>
  <c r="B9" i="17"/>
  <c r="B10" i="17"/>
  <c r="B11" i="17"/>
  <c r="B12" i="17"/>
  <c r="B13" i="17"/>
  <c r="B14" i="17"/>
  <c r="B15" i="17"/>
  <c r="B16" i="17"/>
  <c r="B17" i="17"/>
  <c r="B18" i="17"/>
  <c r="B19" i="17"/>
  <c r="B20" i="17"/>
  <c r="B21" i="17"/>
  <c r="B22" i="17"/>
  <c r="B23" i="17"/>
  <c r="B24" i="17"/>
  <c r="B25" i="17"/>
  <c r="B26" i="17"/>
  <c r="B27" i="17"/>
  <c r="B28" i="17"/>
  <c r="B29" i="17"/>
  <c r="B30" i="17"/>
  <c r="B31" i="17"/>
  <c r="B32" i="17"/>
  <c r="B33" i="17"/>
  <c r="B34" i="17"/>
  <c r="B35" i="17"/>
  <c r="B36" i="17"/>
  <c r="B37" i="17"/>
  <c r="B38" i="17"/>
  <c r="B39" i="17"/>
  <c r="B40" i="17"/>
  <c r="B41" i="17"/>
  <c r="B42" i="17"/>
  <c r="B43" i="17"/>
  <c r="B44" i="17"/>
  <c r="B45" i="17"/>
  <c r="B46" i="17"/>
  <c r="B47" i="17"/>
  <c r="B48" i="17"/>
  <c r="B49" i="17"/>
  <c r="B50" i="17"/>
  <c r="B51" i="17"/>
  <c r="B52" i="17"/>
  <c r="B53" i="17"/>
  <c r="B54" i="17"/>
  <c r="B55" i="17"/>
  <c r="I55" i="17"/>
  <c r="J55" i="17"/>
  <c r="M55" i="17"/>
  <c r="C6" i="17"/>
  <c r="F6" i="17"/>
  <c r="C7" i="17"/>
  <c r="F7" i="17"/>
  <c r="C8" i="17"/>
  <c r="F8" i="17"/>
  <c r="C9" i="17"/>
  <c r="F9" i="17"/>
  <c r="C10" i="17"/>
  <c r="F10" i="17"/>
  <c r="C11" i="17"/>
  <c r="F11" i="17"/>
  <c r="C12" i="17"/>
  <c r="F12" i="17"/>
  <c r="C13" i="17"/>
  <c r="F13" i="17"/>
  <c r="C14" i="17"/>
  <c r="F14" i="17"/>
  <c r="C15" i="17"/>
  <c r="F15" i="17"/>
  <c r="C16" i="17"/>
  <c r="F16" i="17"/>
  <c r="C17" i="17"/>
  <c r="F17" i="17"/>
  <c r="C18" i="17"/>
  <c r="F18" i="17"/>
  <c r="C19" i="17"/>
  <c r="F19" i="17"/>
  <c r="C20" i="17"/>
  <c r="F20" i="17"/>
  <c r="C21" i="17"/>
  <c r="F21" i="17"/>
  <c r="C22" i="17"/>
  <c r="F22" i="17"/>
  <c r="C23" i="17"/>
  <c r="F23" i="17"/>
  <c r="C24" i="17"/>
  <c r="F24" i="17"/>
  <c r="C25" i="17"/>
  <c r="F25" i="17"/>
  <c r="C26" i="17"/>
  <c r="F26" i="17"/>
  <c r="C27" i="17"/>
  <c r="F27" i="17"/>
  <c r="C28" i="17"/>
  <c r="F28" i="17"/>
  <c r="C29" i="17"/>
  <c r="F29" i="17"/>
  <c r="C30" i="17"/>
  <c r="F30" i="17"/>
  <c r="C31" i="17"/>
  <c r="F31" i="17"/>
  <c r="C32" i="17"/>
  <c r="F32" i="17"/>
  <c r="C33" i="17"/>
  <c r="F33" i="17"/>
  <c r="C34" i="17"/>
  <c r="F34" i="17"/>
  <c r="C35" i="17"/>
  <c r="F35" i="17"/>
  <c r="C36" i="17"/>
  <c r="F36" i="17"/>
  <c r="C37" i="17"/>
  <c r="F37" i="17"/>
  <c r="C38" i="17"/>
  <c r="F38" i="17"/>
  <c r="C39" i="17"/>
  <c r="F39" i="17"/>
  <c r="C40" i="17"/>
  <c r="F40" i="17"/>
  <c r="C41" i="17"/>
  <c r="F41" i="17"/>
  <c r="C42" i="17"/>
  <c r="F42" i="17"/>
  <c r="C43" i="17"/>
  <c r="F43" i="17"/>
  <c r="C44" i="17"/>
  <c r="F44" i="17"/>
  <c r="C45" i="17"/>
  <c r="F45" i="17"/>
  <c r="C46" i="17"/>
  <c r="F46" i="17"/>
  <c r="C47" i="17"/>
  <c r="F47" i="17"/>
  <c r="C48" i="17"/>
  <c r="F48" i="17"/>
  <c r="C49" i="17"/>
  <c r="F49" i="17"/>
  <c r="C50" i="17"/>
  <c r="F50" i="17"/>
  <c r="C51" i="17"/>
  <c r="F51" i="17"/>
  <c r="C52" i="17"/>
  <c r="F52" i="17"/>
  <c r="C53" i="17"/>
  <c r="F53" i="17"/>
  <c r="C54" i="17"/>
  <c r="F54" i="17"/>
  <c r="I6" i="17"/>
  <c r="J6" i="17"/>
  <c r="I7" i="17"/>
  <c r="J7" i="17"/>
  <c r="I8" i="17"/>
  <c r="J8" i="17"/>
  <c r="I9" i="17"/>
  <c r="J9" i="17"/>
  <c r="I10" i="17"/>
  <c r="J10" i="17"/>
  <c r="I11" i="17"/>
  <c r="J11" i="17"/>
  <c r="I12" i="17"/>
  <c r="J12" i="17"/>
  <c r="I13" i="17"/>
  <c r="J13" i="17"/>
  <c r="I14" i="17"/>
  <c r="J14" i="17"/>
  <c r="I15" i="17"/>
  <c r="J15" i="17"/>
  <c r="I16" i="17"/>
  <c r="J16" i="17"/>
  <c r="I17" i="17"/>
  <c r="J17" i="17"/>
  <c r="I18" i="17"/>
  <c r="J18" i="17"/>
  <c r="I19" i="17"/>
  <c r="J19" i="17"/>
  <c r="I20" i="17"/>
  <c r="J20" i="17"/>
  <c r="I21" i="17"/>
  <c r="J21" i="17"/>
  <c r="I22" i="17"/>
  <c r="J22" i="17"/>
  <c r="I23" i="17"/>
  <c r="J23" i="17"/>
  <c r="I24" i="17"/>
  <c r="J24" i="17"/>
  <c r="I25" i="17"/>
  <c r="J25" i="17"/>
  <c r="I26" i="17"/>
  <c r="J26" i="17"/>
  <c r="I27" i="17"/>
  <c r="J27" i="17"/>
  <c r="I28" i="17"/>
  <c r="J28" i="17"/>
  <c r="I29" i="17"/>
  <c r="J29" i="17"/>
  <c r="I30" i="17"/>
  <c r="J30" i="17"/>
  <c r="I31" i="17"/>
  <c r="J31" i="17"/>
  <c r="I32" i="17"/>
  <c r="J32" i="17"/>
  <c r="I33" i="17"/>
  <c r="J33" i="17"/>
  <c r="I34" i="17"/>
  <c r="J34" i="17"/>
  <c r="I35" i="17"/>
  <c r="J35" i="17"/>
  <c r="I36" i="17"/>
  <c r="J36" i="17"/>
  <c r="I37" i="17"/>
  <c r="J37" i="17"/>
  <c r="I38" i="17"/>
  <c r="J38" i="17"/>
  <c r="I39" i="17"/>
  <c r="J39" i="17"/>
  <c r="I40" i="17"/>
  <c r="J40" i="17"/>
  <c r="I41" i="17"/>
  <c r="J41" i="17"/>
  <c r="I42" i="17"/>
  <c r="J42" i="17"/>
  <c r="I43" i="17"/>
  <c r="J43" i="17"/>
  <c r="I44" i="17"/>
  <c r="J44" i="17"/>
  <c r="I45" i="17"/>
  <c r="J45" i="17"/>
  <c r="I46" i="17"/>
  <c r="J46" i="17"/>
  <c r="I47" i="17"/>
  <c r="J47" i="17"/>
  <c r="I48" i="17"/>
  <c r="J48" i="17"/>
  <c r="I49" i="17"/>
  <c r="J49" i="17"/>
  <c r="I50" i="17"/>
  <c r="J50" i="17"/>
  <c r="I51" i="17"/>
  <c r="J51" i="17"/>
  <c r="I52" i="17"/>
  <c r="J52" i="17"/>
  <c r="I53" i="17"/>
  <c r="J53" i="17"/>
  <c r="I54" i="17"/>
  <c r="J54" i="17"/>
  <c r="B56" i="17"/>
  <c r="J56" i="17"/>
  <c r="B57" i="17"/>
  <c r="J57" i="17"/>
  <c r="B58" i="17"/>
  <c r="J58" i="17"/>
  <c r="B59" i="17"/>
  <c r="J59" i="17"/>
  <c r="B60" i="17"/>
  <c r="J60" i="17"/>
  <c r="B61" i="17"/>
  <c r="J61" i="17"/>
  <c r="B62" i="17"/>
  <c r="J62" i="17"/>
  <c r="B63" i="17"/>
  <c r="J63" i="17"/>
  <c r="B64" i="17"/>
  <c r="J64" i="17"/>
  <c r="B65" i="17"/>
  <c r="J65" i="17"/>
  <c r="B66" i="17"/>
  <c r="J66" i="17"/>
  <c r="B67" i="17"/>
  <c r="J67" i="17"/>
  <c r="B68" i="17"/>
  <c r="J68" i="17"/>
  <c r="B69" i="17"/>
  <c r="J69" i="17"/>
  <c r="B70" i="17"/>
  <c r="J70" i="17"/>
  <c r="B71" i="17"/>
  <c r="J71" i="17"/>
  <c r="B72" i="17"/>
  <c r="J72" i="17"/>
  <c r="B73" i="17"/>
  <c r="T56" i="17"/>
  <c r="T57" i="17"/>
  <c r="T58" i="17"/>
  <c r="T59" i="17"/>
  <c r="T60" i="17"/>
  <c r="T61" i="17"/>
  <c r="T62" i="17"/>
  <c r="T63" i="17"/>
  <c r="T64" i="17"/>
  <c r="T65" i="17"/>
  <c r="T66" i="17"/>
  <c r="T67" i="17"/>
  <c r="T68" i="17"/>
  <c r="T69" i="17"/>
  <c r="T70" i="17"/>
  <c r="T71" i="17"/>
  <c r="T72" i="17"/>
  <c r="J73" i="17"/>
  <c r="B74" i="17"/>
  <c r="J74" i="17"/>
  <c r="B75" i="17"/>
  <c r="J75" i="17"/>
  <c r="B76" i="17"/>
  <c r="J76" i="17"/>
  <c r="B77" i="17"/>
  <c r="J77" i="17"/>
  <c r="B78" i="17"/>
  <c r="J78" i="17"/>
  <c r="B79" i="17"/>
  <c r="J79" i="17"/>
  <c r="B80" i="17"/>
  <c r="J80" i="17"/>
  <c r="B81" i="17"/>
  <c r="J81" i="17"/>
  <c r="B82" i="17"/>
  <c r="J82" i="17"/>
  <c r="B83" i="17"/>
  <c r="J83" i="17"/>
  <c r="B84" i="17"/>
  <c r="J84" i="17"/>
  <c r="B85" i="17"/>
  <c r="J85" i="17"/>
  <c r="B86" i="17"/>
  <c r="C86" i="17"/>
  <c r="F86" i="17"/>
  <c r="I86" i="17"/>
  <c r="J86" i="17"/>
  <c r="B87" i="17"/>
  <c r="C87" i="17"/>
  <c r="F87" i="17"/>
  <c r="I87" i="17"/>
  <c r="J87" i="17"/>
  <c r="B88" i="17"/>
  <c r="C88" i="17"/>
  <c r="F88" i="17"/>
  <c r="I88" i="17"/>
  <c r="J88" i="17"/>
  <c r="B89" i="17"/>
  <c r="C89" i="17"/>
  <c r="F89" i="17"/>
  <c r="I89" i="17"/>
  <c r="J89" i="17"/>
  <c r="B90" i="17"/>
  <c r="C90" i="17"/>
  <c r="F90" i="17"/>
  <c r="I90" i="17"/>
  <c r="J90" i="17"/>
  <c r="B91" i="17"/>
  <c r="C91" i="17"/>
  <c r="F91" i="17"/>
  <c r="I91" i="17"/>
  <c r="J91" i="17"/>
  <c r="B92" i="17"/>
  <c r="C92" i="17"/>
  <c r="F92" i="17"/>
  <c r="I92" i="17"/>
  <c r="J92" i="17"/>
  <c r="B93" i="17"/>
  <c r="C93" i="17"/>
  <c r="F93" i="17"/>
  <c r="I93" i="17"/>
  <c r="J93" i="17"/>
  <c r="B94" i="17"/>
  <c r="C94" i="17"/>
  <c r="F94" i="17"/>
  <c r="I94" i="17"/>
  <c r="J94" i="17"/>
  <c r="B95" i="17"/>
  <c r="C95" i="17"/>
  <c r="F95" i="17"/>
  <c r="I95" i="17"/>
  <c r="J95" i="17"/>
  <c r="B96" i="17"/>
  <c r="C96" i="17"/>
  <c r="F96" i="17"/>
  <c r="I96" i="17"/>
  <c r="J96" i="17"/>
  <c r="B97" i="17"/>
  <c r="C97" i="17"/>
  <c r="F97" i="17"/>
  <c r="I97" i="17"/>
  <c r="J97" i="17"/>
  <c r="B98" i="17"/>
  <c r="C98" i="17"/>
  <c r="F98" i="17"/>
  <c r="I98" i="17"/>
  <c r="J98" i="17"/>
  <c r="B99" i="17"/>
  <c r="C99" i="17"/>
  <c r="F99" i="17"/>
  <c r="I99" i="17"/>
  <c r="J99" i="17"/>
  <c r="B100" i="17"/>
  <c r="C100" i="17"/>
  <c r="F100" i="17"/>
  <c r="I100" i="17"/>
  <c r="J100" i="17"/>
  <c r="B101" i="17"/>
  <c r="C101" i="17"/>
  <c r="F101" i="17"/>
  <c r="I101" i="17"/>
  <c r="J101" i="17"/>
  <c r="B102" i="17"/>
  <c r="C102" i="17"/>
  <c r="F102" i="17"/>
  <c r="I102" i="17"/>
  <c r="J102" i="17"/>
  <c r="B103" i="17"/>
  <c r="C103" i="17"/>
  <c r="F103" i="17"/>
  <c r="I103" i="17"/>
  <c r="J103" i="17"/>
  <c r="B104" i="17"/>
  <c r="C104" i="17"/>
  <c r="F104" i="17"/>
  <c r="I104" i="17"/>
  <c r="J104" i="17"/>
  <c r="B105" i="17"/>
  <c r="C105" i="17"/>
  <c r="F105" i="17"/>
  <c r="I105" i="17"/>
  <c r="J105" i="17"/>
  <c r="B106" i="17"/>
  <c r="C106" i="17"/>
  <c r="F106" i="17"/>
  <c r="I106" i="17"/>
  <c r="J106" i="17"/>
  <c r="B107" i="17"/>
  <c r="C107" i="17"/>
  <c r="F107" i="17"/>
  <c r="I107" i="17"/>
  <c r="J107" i="17"/>
  <c r="C5" i="17"/>
  <c r="F5" i="17"/>
  <c r="I5" i="17"/>
  <c r="J5" i="17"/>
  <c r="W62" i="17"/>
  <c r="W54" i="17"/>
  <c r="W55" i="17"/>
  <c r="Y55" i="17"/>
  <c r="T78" i="17"/>
  <c r="T79" i="17"/>
  <c r="T80" i="17"/>
  <c r="T81" i="17"/>
  <c r="T82" i="17"/>
  <c r="T83" i="17"/>
  <c r="T84" i="17"/>
  <c r="T85" i="17"/>
  <c r="T86" i="17"/>
  <c r="T87" i="17"/>
  <c r="T88" i="17"/>
  <c r="T77" i="17"/>
  <c r="W56" i="17"/>
  <c r="D56" i="17"/>
  <c r="Y56" i="17"/>
  <c r="Z56" i="17"/>
  <c r="AA56" i="17"/>
  <c r="W57" i="17"/>
  <c r="D57" i="17"/>
  <c r="Y57" i="17"/>
  <c r="Z57" i="17"/>
  <c r="AA57" i="17"/>
  <c r="W58" i="17"/>
  <c r="D58" i="17"/>
  <c r="Y58" i="17"/>
  <c r="Z58" i="17"/>
  <c r="AA58" i="17"/>
  <c r="W59" i="17"/>
  <c r="D59" i="17"/>
  <c r="Y59" i="17"/>
  <c r="Z59" i="17"/>
  <c r="AA59" i="17"/>
  <c r="W60" i="17"/>
  <c r="D60" i="17"/>
  <c r="Y60" i="17"/>
  <c r="Z60" i="17"/>
  <c r="AA60" i="17"/>
  <c r="W61" i="17"/>
  <c r="D61" i="17"/>
  <c r="Y61" i="17"/>
  <c r="Z61" i="17"/>
  <c r="AA61" i="17"/>
  <c r="D62" i="17"/>
  <c r="Y62" i="17"/>
  <c r="Z62" i="17"/>
  <c r="AA62" i="17"/>
  <c r="W67" i="17"/>
  <c r="W63" i="17"/>
  <c r="D63" i="17"/>
  <c r="Y63" i="17"/>
  <c r="Z63" i="17"/>
  <c r="AA63" i="17"/>
  <c r="W64" i="17"/>
  <c r="D64" i="17"/>
  <c r="Y64" i="17"/>
  <c r="Z64" i="17"/>
  <c r="AA64" i="17"/>
  <c r="W65" i="17"/>
  <c r="D65" i="17"/>
  <c r="Y65" i="17"/>
  <c r="Z65" i="17"/>
  <c r="AA65" i="17"/>
  <c r="W66" i="17"/>
  <c r="D66" i="17"/>
  <c r="Y66" i="17"/>
  <c r="Z66" i="17"/>
  <c r="AA66" i="17"/>
  <c r="D67" i="17"/>
  <c r="Y67" i="17"/>
  <c r="Z67" i="17"/>
  <c r="AA67" i="17"/>
  <c r="W68" i="17"/>
  <c r="D68" i="17"/>
  <c r="Y68" i="17"/>
  <c r="Z68" i="17"/>
  <c r="AA68" i="17"/>
  <c r="W69" i="17"/>
  <c r="D69" i="17"/>
  <c r="Y69" i="17"/>
  <c r="Z69" i="17"/>
  <c r="AA69" i="17"/>
  <c r="W70" i="17"/>
  <c r="D70" i="17"/>
  <c r="Y70" i="17"/>
  <c r="Z70" i="17"/>
  <c r="AA70" i="17"/>
  <c r="W71" i="17"/>
  <c r="D71" i="17"/>
  <c r="Y71" i="17"/>
  <c r="Z71" i="17"/>
  <c r="AA71" i="17"/>
  <c r="D72" i="17"/>
  <c r="Y72" i="17"/>
  <c r="Z72" i="17"/>
  <c r="AA72" i="17"/>
  <c r="D73" i="17"/>
  <c r="Y73" i="17"/>
  <c r="Z73" i="17"/>
  <c r="AA73" i="17"/>
  <c r="D74" i="17"/>
  <c r="Y74" i="17"/>
  <c r="Z74" i="17"/>
  <c r="AA74" i="17"/>
  <c r="AA55" i="17"/>
  <c r="Z55" i="17"/>
  <c r="G55" i="17"/>
  <c r="X60" i="17"/>
  <c r="O60" i="17"/>
  <c r="X61" i="17"/>
  <c r="O61" i="17"/>
  <c r="X62" i="17"/>
  <c r="O62" i="17"/>
  <c r="X63" i="17"/>
  <c r="O63" i="17"/>
  <c r="X64" i="17"/>
  <c r="O64" i="17"/>
  <c r="X65" i="17"/>
  <c r="O65" i="17"/>
  <c r="X66" i="17"/>
  <c r="O66" i="17"/>
  <c r="X67" i="17"/>
  <c r="O67" i="17"/>
  <c r="X68" i="17"/>
  <c r="O68" i="17"/>
  <c r="X69" i="17"/>
  <c r="O69" i="17"/>
  <c r="X70" i="17"/>
  <c r="O70" i="17"/>
  <c r="X71" i="17"/>
  <c r="O71" i="17"/>
  <c r="X72" i="17"/>
  <c r="O72" i="17"/>
  <c r="X58" i="17"/>
  <c r="O58" i="17"/>
  <c r="X59" i="17"/>
  <c r="O59" i="17"/>
  <c r="X57" i="17"/>
  <c r="O57" i="17"/>
  <c r="X56" i="17"/>
  <c r="O56" i="17"/>
  <c r="X55" i="17"/>
  <c r="O55" i="17"/>
  <c r="G86" i="17"/>
  <c r="G87" i="17"/>
  <c r="G54" i="17"/>
  <c r="X54" i="17"/>
  <c r="Q81" i="17"/>
  <c r="S81" i="17"/>
  <c r="Q82" i="17"/>
  <c r="S82" i="17"/>
  <c r="Q83" i="17"/>
  <c r="S83" i="17"/>
  <c r="Q84" i="17"/>
  <c r="S84" i="17"/>
  <c r="Q85" i="17"/>
  <c r="S85" i="17"/>
  <c r="R86" i="17"/>
  <c r="Q86" i="17"/>
  <c r="S86" i="17"/>
  <c r="R87" i="17"/>
  <c r="Q87" i="17"/>
  <c r="S87" i="17"/>
  <c r="G88" i="17"/>
  <c r="R88" i="17"/>
  <c r="Q88" i="17"/>
  <c r="S88" i="17"/>
  <c r="Q73" i="17"/>
  <c r="S73" i="17"/>
  <c r="Q74" i="17"/>
  <c r="S74" i="17"/>
  <c r="Q75" i="17"/>
  <c r="S75" i="17"/>
  <c r="Q76" i="17"/>
  <c r="S76" i="17"/>
  <c r="Q77" i="17"/>
  <c r="S77" i="17"/>
  <c r="Q78" i="17"/>
  <c r="S78" i="17"/>
  <c r="Q79" i="17"/>
  <c r="S79" i="17"/>
  <c r="Q80" i="17"/>
  <c r="S80" i="17"/>
  <c r="Q72" i="17"/>
  <c r="S72" i="17"/>
  <c r="Q71" i="17"/>
  <c r="S71" i="17"/>
  <c r="Q70" i="17"/>
  <c r="S70" i="17"/>
  <c r="Q69" i="17"/>
  <c r="S69" i="17"/>
  <c r="Q68" i="17"/>
  <c r="S68" i="17"/>
  <c r="Q67" i="17"/>
  <c r="S67" i="17"/>
  <c r="Q66" i="17"/>
  <c r="S66" i="17"/>
  <c r="Q65" i="17"/>
  <c r="S65" i="17"/>
  <c r="Q64" i="17"/>
  <c r="S64" i="17"/>
  <c r="Q63" i="17"/>
  <c r="S63" i="17"/>
  <c r="Q62" i="17"/>
  <c r="S62" i="17"/>
  <c r="Q61" i="17"/>
  <c r="S61" i="17"/>
  <c r="Q60" i="17"/>
  <c r="S60" i="17"/>
  <c r="Q59" i="17"/>
  <c r="S59" i="17"/>
  <c r="Q58" i="17"/>
  <c r="S58" i="17"/>
  <c r="Q57" i="17"/>
  <c r="S57" i="17"/>
  <c r="Q56" i="17"/>
  <c r="S56" i="17"/>
  <c r="R55" i="17"/>
  <c r="Q55" i="17"/>
  <c r="S55" i="17"/>
  <c r="R54" i="17"/>
  <c r="Q54" i="17"/>
  <c r="S54" i="17"/>
  <c r="V55" i="17"/>
  <c r="V56" i="17"/>
  <c r="V57" i="17"/>
  <c r="V58" i="17"/>
  <c r="V59" i="17"/>
  <c r="V60" i="17"/>
  <c r="V61" i="17"/>
  <c r="V62" i="17"/>
  <c r="V63" i="17"/>
  <c r="V64" i="17"/>
  <c r="V65" i="17"/>
  <c r="V66" i="17"/>
  <c r="V67" i="17"/>
  <c r="V68" i="17"/>
  <c r="V69" i="17"/>
  <c r="V70" i="17"/>
  <c r="V71" i="17"/>
  <c r="V72" i="17"/>
  <c r="V54" i="17"/>
  <c r="D6" i="17"/>
  <c r="M6" i="17"/>
  <c r="D7" i="17"/>
  <c r="M7" i="17"/>
  <c r="D8" i="17"/>
  <c r="M8" i="17"/>
  <c r="D9" i="17"/>
  <c r="M9" i="17"/>
  <c r="D10" i="17"/>
  <c r="M10" i="17"/>
  <c r="D11" i="17"/>
  <c r="M11" i="17"/>
  <c r="D12" i="17"/>
  <c r="M12" i="17"/>
  <c r="D13" i="17"/>
  <c r="M13" i="17"/>
  <c r="D14" i="17"/>
  <c r="M14" i="17"/>
  <c r="D15" i="17"/>
  <c r="M15" i="17"/>
  <c r="D16" i="17"/>
  <c r="M16" i="17"/>
  <c r="D17" i="17"/>
  <c r="M17" i="17"/>
  <c r="D18" i="17"/>
  <c r="M18" i="17"/>
  <c r="D19" i="17"/>
  <c r="M19" i="17"/>
  <c r="D20" i="17"/>
  <c r="M20" i="17"/>
  <c r="D21" i="17"/>
  <c r="M21" i="17"/>
  <c r="D22" i="17"/>
  <c r="M22" i="17"/>
  <c r="D23" i="17"/>
  <c r="M23" i="17"/>
  <c r="D24" i="17"/>
  <c r="M24" i="17"/>
  <c r="D25" i="17"/>
  <c r="M25" i="17"/>
  <c r="D26" i="17"/>
  <c r="M26" i="17"/>
  <c r="D27" i="17"/>
  <c r="M27" i="17"/>
  <c r="D28" i="17"/>
  <c r="M28" i="17"/>
  <c r="D29" i="17"/>
  <c r="M29" i="17"/>
  <c r="D30" i="17"/>
  <c r="M30" i="17"/>
  <c r="D31" i="17"/>
  <c r="M31" i="17"/>
  <c r="D32" i="17"/>
  <c r="M32" i="17"/>
  <c r="D33" i="17"/>
  <c r="M33" i="17"/>
  <c r="D34" i="17"/>
  <c r="M34" i="17"/>
  <c r="D35" i="17"/>
  <c r="M35" i="17"/>
  <c r="D36" i="17"/>
  <c r="M36" i="17"/>
  <c r="D37" i="17"/>
  <c r="M37" i="17"/>
  <c r="D38" i="17"/>
  <c r="M38" i="17"/>
  <c r="D39" i="17"/>
  <c r="M39" i="17"/>
  <c r="D40" i="17"/>
  <c r="M40" i="17"/>
  <c r="D41" i="17"/>
  <c r="M41" i="17"/>
  <c r="D42" i="17"/>
  <c r="M42" i="17"/>
  <c r="D43" i="17"/>
  <c r="M43" i="17"/>
  <c r="D44" i="17"/>
  <c r="M44" i="17"/>
  <c r="D45" i="17"/>
  <c r="M45" i="17"/>
  <c r="D46" i="17"/>
  <c r="M46" i="17"/>
  <c r="D47" i="17"/>
  <c r="M47" i="17"/>
  <c r="D48" i="17"/>
  <c r="M48" i="17"/>
  <c r="D49" i="17"/>
  <c r="M49" i="17"/>
  <c r="D50" i="17"/>
  <c r="M50" i="17"/>
  <c r="D51" i="17"/>
  <c r="M51" i="17"/>
  <c r="D52" i="17"/>
  <c r="M52" i="17"/>
  <c r="D53" i="17"/>
  <c r="M53" i="17"/>
  <c r="D54" i="17"/>
  <c r="M54" i="17"/>
  <c r="M56" i="17"/>
  <c r="M57" i="17"/>
  <c r="M58" i="17"/>
  <c r="M59" i="17"/>
  <c r="M60" i="17"/>
  <c r="M61" i="17"/>
  <c r="M62" i="17"/>
  <c r="M63" i="17"/>
  <c r="M64" i="17"/>
  <c r="M65" i="17"/>
  <c r="M66" i="17"/>
  <c r="M67" i="17"/>
  <c r="M68" i="17"/>
  <c r="M69" i="17"/>
  <c r="M70" i="17"/>
  <c r="M71" i="17"/>
  <c r="M72" i="17"/>
  <c r="M73" i="17"/>
  <c r="M74" i="17"/>
  <c r="D75" i="17"/>
  <c r="M75" i="17"/>
  <c r="D76" i="17"/>
  <c r="M76" i="17"/>
  <c r="D77" i="17"/>
  <c r="M77" i="17"/>
  <c r="D78" i="17"/>
  <c r="M78" i="17"/>
  <c r="D79" i="17"/>
  <c r="M79" i="17"/>
  <c r="D80" i="17"/>
  <c r="M80" i="17"/>
  <c r="D81" i="17"/>
  <c r="M81" i="17"/>
  <c r="D82" i="17"/>
  <c r="M82" i="17"/>
  <c r="D83" i="17"/>
  <c r="M83" i="17"/>
  <c r="D84" i="17"/>
  <c r="M84" i="17"/>
  <c r="D85" i="17"/>
  <c r="M85" i="17"/>
  <c r="D86" i="17"/>
  <c r="M86" i="17"/>
  <c r="D87" i="17"/>
  <c r="M87" i="17"/>
  <c r="D88" i="17"/>
  <c r="M88" i="17"/>
  <c r="D89" i="17"/>
  <c r="M89" i="17"/>
  <c r="D90" i="17"/>
  <c r="M90" i="17"/>
  <c r="D91" i="17"/>
  <c r="M91" i="17"/>
  <c r="D92" i="17"/>
  <c r="M92" i="17"/>
  <c r="D93" i="17"/>
  <c r="M93" i="17"/>
  <c r="D94" i="17"/>
  <c r="M94" i="17"/>
  <c r="D95" i="17"/>
  <c r="M95" i="17"/>
  <c r="D96" i="17"/>
  <c r="M96" i="17"/>
  <c r="D97" i="17"/>
  <c r="M97" i="17"/>
  <c r="D98" i="17"/>
  <c r="M98" i="17"/>
  <c r="D99" i="17"/>
  <c r="M99" i="17"/>
  <c r="D100" i="17"/>
  <c r="M100" i="17"/>
  <c r="D101" i="17"/>
  <c r="M101" i="17"/>
  <c r="D102" i="17"/>
  <c r="M102" i="17"/>
  <c r="D103" i="17"/>
  <c r="M103" i="17"/>
  <c r="D104" i="17"/>
  <c r="M104" i="17"/>
  <c r="D105" i="17"/>
  <c r="M105" i="17"/>
  <c r="D106" i="17"/>
  <c r="M106" i="17"/>
  <c r="D107" i="17"/>
  <c r="M107" i="17"/>
  <c r="D5" i="17"/>
  <c r="M5" i="17"/>
  <c r="K55" i="17"/>
  <c r="G89" i="17"/>
  <c r="R89" i="17"/>
  <c r="Q89" i="17"/>
  <c r="G90" i="17"/>
  <c r="R90" i="17"/>
  <c r="Q90" i="17"/>
  <c r="G91" i="17"/>
  <c r="R91" i="17"/>
  <c r="Q91" i="17"/>
  <c r="G92" i="17"/>
  <c r="R92" i="17"/>
  <c r="Q92" i="17"/>
  <c r="G93" i="17"/>
  <c r="R93" i="17"/>
  <c r="Q93" i="17"/>
  <c r="G94" i="17"/>
  <c r="R94" i="17"/>
  <c r="Q94" i="17"/>
  <c r="G95" i="17"/>
  <c r="R95" i="17"/>
  <c r="Q95" i="17"/>
  <c r="G96" i="17"/>
  <c r="R96" i="17"/>
  <c r="Q96" i="17"/>
  <c r="G97" i="17"/>
  <c r="R97" i="17"/>
  <c r="Q97" i="17"/>
  <c r="G98" i="17"/>
  <c r="R98" i="17"/>
  <c r="Q98" i="17"/>
  <c r="G99" i="17"/>
  <c r="R99" i="17"/>
  <c r="Q99" i="17"/>
  <c r="G100" i="17"/>
  <c r="R100" i="17"/>
  <c r="Q100" i="17"/>
  <c r="G101" i="17"/>
  <c r="R101" i="17"/>
  <c r="Q101" i="17"/>
  <c r="G102" i="17"/>
  <c r="R102" i="17"/>
  <c r="Q102" i="17"/>
  <c r="G103" i="17"/>
  <c r="R103" i="17"/>
  <c r="Q103" i="17"/>
  <c r="G104" i="17"/>
  <c r="R104" i="17"/>
  <c r="Q104" i="17"/>
  <c r="G105" i="17"/>
  <c r="R105" i="17"/>
  <c r="Q105" i="17"/>
  <c r="G106" i="17"/>
  <c r="R106" i="17"/>
  <c r="Q106" i="17"/>
  <c r="G107" i="17"/>
  <c r="R107" i="17"/>
  <c r="Q107" i="17"/>
  <c r="K107" i="17"/>
  <c r="K106" i="17"/>
  <c r="K105" i="17"/>
  <c r="K104" i="17"/>
  <c r="K103" i="17"/>
  <c r="K102" i="17"/>
  <c r="K101" i="17"/>
  <c r="K100" i="17"/>
  <c r="K99" i="17"/>
  <c r="K98" i="17"/>
  <c r="K97" i="17"/>
  <c r="K96" i="17"/>
  <c r="K95" i="17"/>
  <c r="K94" i="17"/>
  <c r="K93" i="17"/>
  <c r="K92" i="17"/>
  <c r="K91" i="17"/>
  <c r="K90" i="17"/>
  <c r="K89" i="17"/>
  <c r="K88" i="17"/>
  <c r="K87" i="17"/>
  <c r="K86" i="17"/>
  <c r="K85" i="17"/>
  <c r="K84" i="17"/>
  <c r="K83" i="17"/>
  <c r="K82" i="17"/>
  <c r="K81" i="17"/>
  <c r="K80" i="17"/>
  <c r="K79" i="17"/>
  <c r="K78" i="17"/>
  <c r="K77" i="17"/>
  <c r="K76" i="17"/>
  <c r="K75" i="17"/>
  <c r="K74" i="17"/>
  <c r="K73" i="17"/>
  <c r="K72" i="17"/>
  <c r="K71" i="17"/>
  <c r="K70" i="17"/>
  <c r="K69" i="17"/>
  <c r="K68" i="17"/>
  <c r="K67" i="17"/>
  <c r="K66" i="17"/>
  <c r="K65" i="17"/>
  <c r="K64" i="17"/>
  <c r="K63" i="17"/>
  <c r="K62" i="17"/>
  <c r="K61" i="17"/>
  <c r="K60" i="17"/>
  <c r="K59" i="17"/>
  <c r="K58" i="17"/>
  <c r="K57" i="17"/>
  <c r="K56" i="17"/>
  <c r="K54" i="17"/>
  <c r="G53" i="17"/>
  <c r="K53" i="17"/>
  <c r="G52" i="17"/>
  <c r="K52" i="17"/>
  <c r="G51" i="17"/>
  <c r="K51" i="17"/>
  <c r="G50" i="17"/>
  <c r="K50" i="17"/>
  <c r="G49" i="17"/>
  <c r="K49" i="17"/>
  <c r="G48" i="17"/>
  <c r="K48" i="17"/>
  <c r="G47" i="17"/>
  <c r="K47" i="17"/>
  <c r="G46" i="17"/>
  <c r="K46" i="17"/>
  <c r="G45" i="17"/>
  <c r="K45" i="17"/>
  <c r="G44" i="17"/>
  <c r="K44" i="17"/>
  <c r="G43" i="17"/>
  <c r="K43" i="17"/>
  <c r="G42" i="17"/>
  <c r="K42" i="17"/>
  <c r="G41" i="17"/>
  <c r="K41" i="17"/>
  <c r="G40" i="17"/>
  <c r="K40" i="17"/>
  <c r="G39" i="17"/>
  <c r="K39" i="17"/>
  <c r="G38" i="17"/>
  <c r="K38" i="17"/>
  <c r="G37" i="17"/>
  <c r="K37" i="17"/>
  <c r="G36" i="17"/>
  <c r="K36" i="17"/>
  <c r="G35" i="17"/>
  <c r="K35" i="17"/>
  <c r="G34" i="17"/>
  <c r="K34" i="17"/>
  <c r="G33" i="17"/>
  <c r="K33" i="17"/>
  <c r="G32" i="17"/>
  <c r="K32" i="17"/>
  <c r="G31" i="17"/>
  <c r="K31" i="17"/>
  <c r="G30" i="17"/>
  <c r="K30" i="17"/>
  <c r="G29" i="17"/>
  <c r="K29" i="17"/>
  <c r="G28" i="17"/>
  <c r="K28" i="17"/>
  <c r="G27" i="17"/>
  <c r="K27" i="17"/>
  <c r="G26" i="17"/>
  <c r="K26" i="17"/>
  <c r="G25" i="17"/>
  <c r="K25" i="17"/>
  <c r="G24" i="17"/>
  <c r="K24" i="17"/>
  <c r="G23" i="17"/>
  <c r="K23" i="17"/>
  <c r="G22" i="17"/>
  <c r="K22" i="17"/>
  <c r="G21" i="17"/>
  <c r="K21" i="17"/>
  <c r="G20" i="17"/>
  <c r="K20" i="17"/>
  <c r="G19" i="17"/>
  <c r="K19" i="17"/>
  <c r="G18" i="17"/>
  <c r="K18" i="17"/>
  <c r="G17" i="17"/>
  <c r="K17" i="17"/>
  <c r="G16" i="17"/>
  <c r="K16" i="17"/>
  <c r="G15" i="17"/>
  <c r="K15" i="17"/>
  <c r="G14" i="17"/>
  <c r="K14" i="17"/>
  <c r="G13" i="17"/>
  <c r="K13" i="17"/>
  <c r="G12" i="17"/>
  <c r="K12" i="17"/>
  <c r="G11" i="17"/>
  <c r="K11" i="17"/>
  <c r="G10" i="17"/>
  <c r="K10" i="17"/>
  <c r="G9" i="17"/>
  <c r="K9" i="17"/>
  <c r="G8" i="17"/>
  <c r="K8" i="17"/>
  <c r="G7" i="17"/>
  <c r="K7" i="17"/>
  <c r="G6" i="17"/>
  <c r="K6" i="17"/>
  <c r="G5" i="17"/>
  <c r="K5" i="17"/>
  <c r="R53" i="17"/>
  <c r="R52" i="17"/>
  <c r="R51" i="17"/>
  <c r="R50" i="17"/>
  <c r="R49" i="17"/>
  <c r="R48" i="17"/>
  <c r="R47" i="17"/>
  <c r="R46" i="17"/>
  <c r="R45" i="17"/>
  <c r="R44" i="17"/>
  <c r="R43" i="17"/>
  <c r="R42" i="17"/>
  <c r="R41" i="17"/>
  <c r="R40" i="17"/>
  <c r="R39" i="17"/>
  <c r="R38" i="17"/>
  <c r="R37" i="17"/>
  <c r="R36" i="17"/>
  <c r="R35" i="17"/>
  <c r="R34" i="17"/>
  <c r="R33" i="17"/>
  <c r="R32" i="17"/>
  <c r="R31" i="17"/>
  <c r="R30" i="17"/>
  <c r="R29" i="17"/>
  <c r="R28" i="17"/>
  <c r="R27" i="17"/>
  <c r="R26" i="17"/>
  <c r="R25" i="17"/>
  <c r="R24" i="17"/>
  <c r="R23" i="17"/>
  <c r="R22" i="17"/>
  <c r="R21" i="17"/>
  <c r="R20" i="17"/>
  <c r="R19" i="17"/>
  <c r="R18" i="17"/>
  <c r="R17" i="17"/>
  <c r="R16" i="17"/>
  <c r="R15" i="17"/>
  <c r="R14" i="17"/>
  <c r="R13" i="17"/>
  <c r="R12" i="17"/>
  <c r="R11" i="17"/>
  <c r="R10" i="17"/>
  <c r="R9" i="17"/>
  <c r="R8" i="17"/>
  <c r="R7" i="17"/>
  <c r="R6" i="17"/>
  <c r="R5" i="17"/>
  <c r="L106" i="17"/>
  <c r="L107" i="17"/>
  <c r="L105" i="17"/>
  <c r="L76" i="17"/>
  <c r="L77" i="17"/>
  <c r="L78" i="17"/>
  <c r="L79" i="17"/>
  <c r="L80" i="17"/>
  <c r="L81" i="17"/>
  <c r="L82" i="17"/>
  <c r="L83" i="17"/>
  <c r="L84" i="17"/>
  <c r="L85" i="17"/>
  <c r="L86" i="17"/>
  <c r="L87" i="17"/>
  <c r="L88" i="17"/>
  <c r="L89" i="17"/>
  <c r="L90" i="17"/>
  <c r="L91" i="17"/>
  <c r="L92" i="17"/>
  <c r="L93" i="17"/>
  <c r="L94" i="17"/>
  <c r="L95" i="17"/>
  <c r="L96" i="17"/>
  <c r="L97" i="17"/>
  <c r="L98" i="17"/>
  <c r="L99" i="17"/>
  <c r="L100" i="17"/>
  <c r="L101" i="17"/>
  <c r="L102" i="17"/>
  <c r="L103" i="17"/>
  <c r="L104" i="17"/>
  <c r="Q27" i="17"/>
  <c r="Q28" i="17"/>
  <c r="Q29" i="17"/>
  <c r="Q30" i="17"/>
  <c r="Q31" i="17"/>
  <c r="Q32" i="17"/>
  <c r="Q33" i="17"/>
  <c r="Q34" i="17"/>
  <c r="Q35" i="17"/>
  <c r="Q36" i="17"/>
  <c r="Q37" i="17"/>
  <c r="Q38" i="17"/>
  <c r="Q39" i="17"/>
  <c r="Q40" i="17"/>
  <c r="Q41" i="17"/>
  <c r="Q42" i="17"/>
  <c r="Q43" i="17"/>
  <c r="Q44" i="17"/>
  <c r="Q45" i="17"/>
  <c r="Q46" i="17"/>
  <c r="Q47" i="17"/>
  <c r="Q48" i="17"/>
  <c r="Q49" i="17"/>
  <c r="Q50" i="17"/>
  <c r="Q51" i="17"/>
  <c r="Q52" i="17"/>
  <c r="Q53" i="17"/>
  <c r="Q26" i="17"/>
  <c r="Q25" i="17"/>
  <c r="L25" i="17"/>
  <c r="Q24" i="17"/>
  <c r="L24" i="17"/>
  <c r="Q23" i="17"/>
  <c r="L23" i="17"/>
  <c r="Q22" i="17"/>
  <c r="L22" i="17"/>
  <c r="L26" i="17"/>
  <c r="L27" i="17"/>
  <c r="K107" i="16"/>
  <c r="K108" i="16"/>
  <c r="K106" i="16"/>
  <c r="J51" i="16"/>
  <c r="K42" i="16"/>
  <c r="L42" i="16"/>
  <c r="M42" i="16"/>
  <c r="K43" i="16"/>
  <c r="N42" i="16"/>
  <c r="O42" i="16"/>
  <c r="P42" i="16"/>
  <c r="Q42" i="16"/>
  <c r="R42" i="16"/>
  <c r="S42" i="16"/>
  <c r="T42" i="16"/>
  <c r="U42" i="16"/>
  <c r="V42" i="16"/>
  <c r="M6" i="16"/>
  <c r="N6" i="16"/>
  <c r="M18" i="16"/>
  <c r="K80" i="16"/>
  <c r="K44" i="16"/>
  <c r="K40" i="16"/>
  <c r="L40" i="16"/>
  <c r="K15" i="16"/>
  <c r="K17" i="16"/>
  <c r="K20" i="16"/>
  <c r="K23" i="16"/>
  <c r="K92" i="16"/>
  <c r="K94" i="16"/>
  <c r="K99" i="16"/>
  <c r="L71" i="16"/>
  <c r="K13" i="16"/>
  <c r="J107" i="16"/>
  <c r="J108" i="16"/>
  <c r="I107" i="16"/>
  <c r="I108" i="16"/>
  <c r="H107" i="16"/>
  <c r="H108" i="16"/>
  <c r="J106" i="16"/>
  <c r="I106" i="16"/>
  <c r="H106" i="16"/>
  <c r="J15" i="16"/>
  <c r="J17" i="16"/>
  <c r="J20" i="16"/>
  <c r="J23" i="16"/>
  <c r="I94" i="16"/>
  <c r="I99" i="16"/>
  <c r="I96" i="16"/>
  <c r="H96" i="16"/>
  <c r="E88" i="16"/>
  <c r="F88" i="16"/>
  <c r="F96" i="16"/>
  <c r="G88" i="16"/>
  <c r="G92" i="16"/>
  <c r="G94" i="16"/>
  <c r="G96" i="16"/>
  <c r="E96" i="16"/>
  <c r="H92" i="16"/>
  <c r="H94" i="16"/>
  <c r="F92" i="16"/>
  <c r="F94" i="16"/>
  <c r="E92" i="16"/>
  <c r="D80" i="16"/>
  <c r="D81" i="16"/>
  <c r="E80" i="16"/>
  <c r="F80" i="16"/>
  <c r="G80" i="16"/>
  <c r="H80" i="16"/>
  <c r="I80" i="16"/>
  <c r="J80" i="16"/>
  <c r="J36" i="16"/>
  <c r="J35" i="16"/>
  <c r="J40" i="16"/>
  <c r="J42" i="16"/>
  <c r="J43" i="16"/>
  <c r="J44" i="16"/>
  <c r="G52" i="16"/>
  <c r="H52" i="16"/>
  <c r="I52" i="16"/>
  <c r="J52" i="16"/>
  <c r="K52" i="16"/>
  <c r="L52" i="16"/>
  <c r="M52" i="16"/>
  <c r="N52" i="16"/>
  <c r="O52" i="16"/>
  <c r="P52" i="16"/>
  <c r="Q52" i="16"/>
  <c r="R52" i="16"/>
  <c r="S52" i="16"/>
  <c r="T52" i="16"/>
  <c r="U52" i="16"/>
  <c r="V52" i="16"/>
  <c r="L80" i="16"/>
  <c r="M80" i="16"/>
  <c r="L36" i="16"/>
  <c r="M5" i="16"/>
  <c r="S14" i="16"/>
  <c r="T14" i="16"/>
  <c r="U14" i="16"/>
  <c r="V14" i="16"/>
  <c r="O80" i="16"/>
  <c r="N36" i="16"/>
  <c r="R13" i="16"/>
  <c r="R18" i="16"/>
  <c r="U80" i="16"/>
  <c r="V80" i="16"/>
  <c r="D15" i="16"/>
  <c r="D20" i="16"/>
  <c r="D23" i="16"/>
  <c r="D54" i="16"/>
  <c r="E44" i="16"/>
  <c r="E54" i="16"/>
  <c r="E58" i="16"/>
  <c r="E76" i="16"/>
  <c r="F38" i="16"/>
  <c r="F42" i="16"/>
  <c r="G42" i="16"/>
  <c r="F44" i="16"/>
  <c r="H60" i="16"/>
  <c r="H40" i="16"/>
  <c r="H43" i="16"/>
  <c r="H48" i="16"/>
  <c r="I35" i="16"/>
  <c r="I38" i="16"/>
  <c r="S13" i="16"/>
  <c r="S18" i="16"/>
  <c r="T13" i="16"/>
  <c r="T18" i="16"/>
  <c r="U13" i="16"/>
  <c r="U18" i="16"/>
  <c r="V13" i="16"/>
  <c r="V18" i="16"/>
  <c r="K22" i="16"/>
  <c r="J22" i="16"/>
  <c r="I22" i="16"/>
  <c r="I24" i="16"/>
  <c r="H24" i="16"/>
  <c r="G24" i="16"/>
  <c r="F24" i="16"/>
  <c r="E24" i="16"/>
  <c r="D22" i="16"/>
  <c r="I15" i="16"/>
  <c r="I20" i="16"/>
  <c r="I19" i="16"/>
  <c r="H15" i="16"/>
  <c r="H20" i="16"/>
  <c r="G15" i="16"/>
  <c r="G20" i="16"/>
  <c r="G17" i="16"/>
  <c r="G19" i="16"/>
  <c r="F14" i="16"/>
  <c r="F15" i="16"/>
  <c r="F20" i="16"/>
  <c r="F17" i="16"/>
  <c r="F19" i="16"/>
  <c r="E15" i="16"/>
  <c r="E20" i="16"/>
  <c r="E17" i="16"/>
  <c r="E19" i="16"/>
  <c r="H17" i="16"/>
  <c r="F18" i="16"/>
  <c r="Q18" i="16"/>
  <c r="J18" i="16"/>
  <c r="G18" i="16"/>
  <c r="E18" i="16"/>
  <c r="Q13" i="16"/>
  <c r="J13" i="16"/>
  <c r="I13" i="16"/>
  <c r="H13" i="16"/>
  <c r="G13" i="16"/>
  <c r="F13" i="16"/>
  <c r="E13" i="16"/>
  <c r="K18" i="15"/>
  <c r="J43" i="15"/>
  <c r="J40" i="15"/>
  <c r="J44" i="15"/>
  <c r="J42" i="15"/>
  <c r="J17" i="15"/>
  <c r="J18" i="15"/>
  <c r="J13" i="15"/>
  <c r="J15" i="15"/>
  <c r="J20" i="15"/>
  <c r="J105" i="15"/>
  <c r="J106" i="15"/>
  <c r="J104" i="15"/>
  <c r="I105" i="15"/>
  <c r="I106" i="15"/>
  <c r="H105" i="15"/>
  <c r="H106" i="15"/>
  <c r="I104" i="15"/>
  <c r="H104" i="15"/>
  <c r="I93" i="15"/>
  <c r="I98" i="15"/>
  <c r="I95" i="15"/>
  <c r="H95" i="15"/>
  <c r="E87" i="15"/>
  <c r="F87" i="15"/>
  <c r="H91" i="15"/>
  <c r="H93" i="15"/>
  <c r="G91" i="15"/>
  <c r="F91" i="15"/>
  <c r="E91" i="15"/>
  <c r="D79" i="15"/>
  <c r="D80" i="15"/>
  <c r="E79" i="15"/>
  <c r="E80" i="15"/>
  <c r="F79" i="15"/>
  <c r="G79" i="15"/>
  <c r="H79" i="15"/>
  <c r="I79" i="15"/>
  <c r="J79" i="15"/>
  <c r="K79" i="15"/>
  <c r="J36" i="15"/>
  <c r="J35" i="15"/>
  <c r="G51" i="15"/>
  <c r="H51" i="15"/>
  <c r="I51" i="15"/>
  <c r="I35" i="15"/>
  <c r="I38" i="15"/>
  <c r="I53" i="15"/>
  <c r="K13" i="15"/>
  <c r="K12" i="15"/>
  <c r="K14" i="15"/>
  <c r="L14" i="15"/>
  <c r="M14" i="15"/>
  <c r="N14" i="15"/>
  <c r="O14" i="15"/>
  <c r="P14" i="15"/>
  <c r="Q14" i="15"/>
  <c r="R14" i="15"/>
  <c r="S14" i="15"/>
  <c r="T14" i="15"/>
  <c r="U14" i="15"/>
  <c r="V14" i="15"/>
  <c r="K17" i="15"/>
  <c r="K20" i="15"/>
  <c r="M79" i="15"/>
  <c r="L5" i="15"/>
  <c r="L13" i="15"/>
  <c r="L6" i="15"/>
  <c r="L18" i="15"/>
  <c r="L17" i="15"/>
  <c r="L36" i="15"/>
  <c r="L40" i="15"/>
  <c r="L42" i="15"/>
  <c r="M5" i="15"/>
  <c r="M13" i="15"/>
  <c r="M6" i="15"/>
  <c r="N6" i="15"/>
  <c r="M42" i="15"/>
  <c r="N42" i="15"/>
  <c r="O42" i="15"/>
  <c r="P42" i="15"/>
  <c r="Q42" i="15"/>
  <c r="R42" i="15"/>
  <c r="S42" i="15"/>
  <c r="T42" i="15"/>
  <c r="U42" i="15"/>
  <c r="V42" i="15"/>
  <c r="O79" i="15"/>
  <c r="N5" i="15"/>
  <c r="N13" i="15"/>
  <c r="N36" i="15"/>
  <c r="P36" i="15"/>
  <c r="N40" i="15"/>
  <c r="O5" i="15"/>
  <c r="O13" i="15"/>
  <c r="O40" i="15"/>
  <c r="P40" i="15"/>
  <c r="Q40" i="15"/>
  <c r="R40" i="15"/>
  <c r="S40" i="15"/>
  <c r="T40" i="15"/>
  <c r="P5" i="15"/>
  <c r="P13" i="15"/>
  <c r="Q36" i="15"/>
  <c r="R13" i="15"/>
  <c r="R18" i="15"/>
  <c r="R36" i="15"/>
  <c r="T79" i="15"/>
  <c r="U79" i="15"/>
  <c r="V79" i="15"/>
  <c r="D15" i="15"/>
  <c r="D20" i="15"/>
  <c r="D53" i="15"/>
  <c r="E44" i="15"/>
  <c r="F44" i="15"/>
  <c r="E53" i="15"/>
  <c r="E57" i="15"/>
  <c r="E75" i="15"/>
  <c r="F38" i="15"/>
  <c r="F42" i="15"/>
  <c r="F53" i="15"/>
  <c r="F57" i="15"/>
  <c r="F75" i="15"/>
  <c r="G42" i="15"/>
  <c r="H59" i="15"/>
  <c r="H40" i="15"/>
  <c r="H43" i="15"/>
  <c r="H48" i="15"/>
  <c r="I57" i="15"/>
  <c r="I75" i="15"/>
  <c r="S13" i="15"/>
  <c r="S18" i="15"/>
  <c r="S36" i="15"/>
  <c r="T13" i="15"/>
  <c r="T18" i="15"/>
  <c r="T36" i="15"/>
  <c r="U13" i="15"/>
  <c r="U18" i="15"/>
  <c r="U36" i="15"/>
  <c r="U40" i="15"/>
  <c r="V13" i="15"/>
  <c r="V18" i="15"/>
  <c r="V36" i="15"/>
  <c r="J22" i="15"/>
  <c r="I22" i="15"/>
  <c r="I24" i="15"/>
  <c r="H24" i="15"/>
  <c r="G24" i="15"/>
  <c r="F24" i="15"/>
  <c r="E24" i="15"/>
  <c r="D22" i="15"/>
  <c r="I15" i="15"/>
  <c r="I20" i="15"/>
  <c r="H15" i="15"/>
  <c r="H20" i="15"/>
  <c r="G15" i="15"/>
  <c r="G20" i="15"/>
  <c r="F14" i="15"/>
  <c r="F15" i="15"/>
  <c r="F20" i="15"/>
  <c r="E15" i="15"/>
  <c r="E20" i="15"/>
  <c r="E17" i="15"/>
  <c r="E19" i="15"/>
  <c r="I19" i="15"/>
  <c r="H17" i="15"/>
  <c r="H19" i="15"/>
  <c r="G17" i="15"/>
  <c r="G19" i="15"/>
  <c r="F17" i="15"/>
  <c r="F19" i="15"/>
  <c r="Q18" i="15"/>
  <c r="I18" i="15"/>
  <c r="H18" i="15"/>
  <c r="G18" i="15"/>
  <c r="F18" i="15"/>
  <c r="E18" i="15"/>
  <c r="Q13" i="15"/>
  <c r="I13" i="15"/>
  <c r="H13" i="15"/>
  <c r="G13" i="15"/>
  <c r="F13" i="15"/>
  <c r="E13" i="15"/>
  <c r="J78" i="14"/>
  <c r="I91" i="14"/>
  <c r="I96" i="14"/>
  <c r="N36" i="14"/>
  <c r="P36" i="14"/>
  <c r="L36" i="14"/>
  <c r="J36" i="14"/>
  <c r="I38" i="14"/>
  <c r="I35" i="14"/>
  <c r="G50" i="14"/>
  <c r="H50" i="14"/>
  <c r="I50" i="14"/>
  <c r="I52" i="14"/>
  <c r="I56" i="14"/>
  <c r="I15" i="14"/>
  <c r="I20" i="14"/>
  <c r="I19" i="14"/>
  <c r="J18" i="14"/>
  <c r="J17" i="14"/>
  <c r="I103" i="14"/>
  <c r="I104" i="14"/>
  <c r="H103" i="14"/>
  <c r="H104" i="14"/>
  <c r="I102" i="14"/>
  <c r="I93" i="14"/>
  <c r="F17" i="14"/>
  <c r="E17" i="14"/>
  <c r="F18" i="14"/>
  <c r="E18" i="14"/>
  <c r="F13" i="14"/>
  <c r="E13" i="14"/>
  <c r="G13" i="14"/>
  <c r="H13" i="14"/>
  <c r="G17" i="14"/>
  <c r="G18" i="14"/>
  <c r="H17" i="14"/>
  <c r="H18" i="14"/>
  <c r="I13" i="14"/>
  <c r="I18" i="14"/>
  <c r="H102" i="14"/>
  <c r="H93" i="14"/>
  <c r="E85" i="14"/>
  <c r="F85" i="14"/>
  <c r="F93" i="14"/>
  <c r="E93" i="14"/>
  <c r="H89" i="14"/>
  <c r="H91" i="14"/>
  <c r="G89" i="14"/>
  <c r="F89" i="14"/>
  <c r="F91" i="14"/>
  <c r="E89" i="14"/>
  <c r="D78" i="14"/>
  <c r="D79" i="14"/>
  <c r="E78" i="14"/>
  <c r="F78" i="14"/>
  <c r="G78" i="14"/>
  <c r="H78" i="14"/>
  <c r="I78" i="14"/>
  <c r="K78" i="14"/>
  <c r="M78" i="14"/>
  <c r="O78" i="14"/>
  <c r="J13" i="14"/>
  <c r="J12" i="14"/>
  <c r="K5" i="14"/>
  <c r="K13" i="14"/>
  <c r="L5" i="14"/>
  <c r="M5" i="14"/>
  <c r="M13" i="14"/>
  <c r="N5" i="14"/>
  <c r="J14" i="14"/>
  <c r="K14" i="14"/>
  <c r="L14" i="14"/>
  <c r="M14" i="14"/>
  <c r="N14" i="14"/>
  <c r="O14" i="14"/>
  <c r="P14" i="14"/>
  <c r="Q14" i="14"/>
  <c r="R14" i="14"/>
  <c r="S14" i="14"/>
  <c r="K6" i="14"/>
  <c r="K18" i="14"/>
  <c r="L6" i="14"/>
  <c r="N40" i="14"/>
  <c r="O40" i="14"/>
  <c r="K42" i="14"/>
  <c r="L42" i="14"/>
  <c r="M42" i="14"/>
  <c r="N42" i="14"/>
  <c r="O42" i="14"/>
  <c r="P42" i="14"/>
  <c r="Q42" i="14"/>
  <c r="R42" i="14"/>
  <c r="S42" i="14"/>
  <c r="J50" i="14"/>
  <c r="K50" i="14"/>
  <c r="L50" i="14"/>
  <c r="M50" i="14"/>
  <c r="N50" i="14"/>
  <c r="O50" i="14"/>
  <c r="P50" i="14"/>
  <c r="P40" i="14"/>
  <c r="Q40" i="14"/>
  <c r="R40" i="14"/>
  <c r="Q36" i="14"/>
  <c r="Q50" i="14"/>
  <c r="R50" i="14"/>
  <c r="S50" i="14"/>
  <c r="T50" i="14"/>
  <c r="U50" i="14"/>
  <c r="V50" i="14"/>
  <c r="R13" i="14"/>
  <c r="R18" i="14"/>
  <c r="R36" i="14"/>
  <c r="T78" i="14"/>
  <c r="U78" i="14"/>
  <c r="V78" i="14"/>
  <c r="D15" i="14"/>
  <c r="D20" i="14"/>
  <c r="D23" i="14"/>
  <c r="D52" i="14"/>
  <c r="E44" i="14"/>
  <c r="E52" i="14"/>
  <c r="E56" i="14"/>
  <c r="E74" i="14"/>
  <c r="F38" i="14"/>
  <c r="F42" i="14"/>
  <c r="F44" i="14"/>
  <c r="F52" i="14"/>
  <c r="F56" i="14"/>
  <c r="F74" i="14"/>
  <c r="G42" i="14"/>
  <c r="G44" i="14"/>
  <c r="G52" i="14"/>
  <c r="G56" i="14"/>
  <c r="G74" i="14"/>
  <c r="H58" i="14"/>
  <c r="H40" i="14"/>
  <c r="H43" i="14"/>
  <c r="H44" i="14"/>
  <c r="H47" i="14"/>
  <c r="H52" i="14"/>
  <c r="H56" i="14"/>
  <c r="H74" i="14"/>
  <c r="I74" i="14"/>
  <c r="J15" i="14"/>
  <c r="J40" i="14"/>
  <c r="K40" i="14"/>
  <c r="L40" i="14"/>
  <c r="S13" i="14"/>
  <c r="S18" i="14"/>
  <c r="S36" i="14"/>
  <c r="S40" i="14"/>
  <c r="T40" i="14"/>
  <c r="U40" i="14"/>
  <c r="V40" i="14"/>
  <c r="V36" i="14"/>
  <c r="T42" i="14"/>
  <c r="U42" i="14"/>
  <c r="V42" i="14"/>
  <c r="V52" i="14"/>
  <c r="T13" i="14"/>
  <c r="T14" i="14"/>
  <c r="U14" i="14"/>
  <c r="V14" i="14"/>
  <c r="T18" i="14"/>
  <c r="T36" i="14"/>
  <c r="U13" i="14"/>
  <c r="U18" i="14"/>
  <c r="U36" i="14"/>
  <c r="V13" i="14"/>
  <c r="V18" i="14"/>
  <c r="J22" i="14"/>
  <c r="I22" i="14"/>
  <c r="I24" i="14"/>
  <c r="H24" i="14"/>
  <c r="G24" i="14"/>
  <c r="F24" i="14"/>
  <c r="E24" i="14"/>
  <c r="D22" i="14"/>
  <c r="H15" i="14"/>
  <c r="H20" i="14"/>
  <c r="H19" i="14"/>
  <c r="G15" i="14"/>
  <c r="G20" i="14"/>
  <c r="G19" i="14"/>
  <c r="F14" i="14"/>
  <c r="F15" i="14"/>
  <c r="F20" i="14"/>
  <c r="E15" i="14"/>
  <c r="E20" i="14"/>
  <c r="E19" i="14"/>
  <c r="F19" i="14"/>
  <c r="Q18" i="14"/>
  <c r="Q13" i="14"/>
  <c r="G15" i="13"/>
  <c r="G20" i="13"/>
  <c r="H15" i="13"/>
  <c r="H20" i="13"/>
  <c r="H17" i="13"/>
  <c r="H19" i="13"/>
  <c r="H104" i="13"/>
  <c r="G104" i="13"/>
  <c r="F104" i="13"/>
  <c r="E104" i="13"/>
  <c r="H115" i="13"/>
  <c r="H114" i="13"/>
  <c r="H106" i="13"/>
  <c r="H108" i="13"/>
  <c r="H56" i="13"/>
  <c r="H52" i="13"/>
  <c r="H49" i="13"/>
  <c r="E100" i="13"/>
  <c r="F100" i="13"/>
  <c r="E108" i="13"/>
  <c r="D93" i="13"/>
  <c r="D94" i="13"/>
  <c r="E93" i="13"/>
  <c r="E94" i="13"/>
  <c r="F93" i="13"/>
  <c r="F94" i="13"/>
  <c r="G93" i="13"/>
  <c r="G94" i="13"/>
  <c r="H93" i="13"/>
  <c r="H94" i="13"/>
  <c r="I93" i="13"/>
  <c r="J93" i="13"/>
  <c r="K93" i="13"/>
  <c r="I13" i="13"/>
  <c r="I12" i="13"/>
  <c r="J5" i="13"/>
  <c r="J13" i="13"/>
  <c r="F14" i="13"/>
  <c r="F15" i="13"/>
  <c r="I14" i="13"/>
  <c r="J14" i="13"/>
  <c r="G17" i="13"/>
  <c r="I18" i="13"/>
  <c r="I17" i="13"/>
  <c r="J6" i="13"/>
  <c r="J18" i="13"/>
  <c r="J45" i="13"/>
  <c r="J49" i="13"/>
  <c r="K49" i="13"/>
  <c r="L49" i="13"/>
  <c r="F51" i="13"/>
  <c r="G51" i="13"/>
  <c r="I51" i="13"/>
  <c r="J51" i="13"/>
  <c r="G59" i="13"/>
  <c r="H59" i="13"/>
  <c r="I59" i="13"/>
  <c r="J59" i="13"/>
  <c r="K59" i="13"/>
  <c r="K5" i="13"/>
  <c r="K13" i="13"/>
  <c r="K14" i="13"/>
  <c r="L14" i="13"/>
  <c r="M14" i="13"/>
  <c r="N14" i="13"/>
  <c r="O14" i="13"/>
  <c r="P14" i="13"/>
  <c r="Q14" i="13"/>
  <c r="R14" i="13"/>
  <c r="K6" i="13"/>
  <c r="K18" i="13"/>
  <c r="K45" i="13"/>
  <c r="K51" i="13"/>
  <c r="L51" i="13"/>
  <c r="M51" i="13"/>
  <c r="L93" i="13"/>
  <c r="M93" i="13"/>
  <c r="L5" i="13"/>
  <c r="L13" i="13"/>
  <c r="L45" i="13"/>
  <c r="L59" i="13"/>
  <c r="M59" i="13"/>
  <c r="N59" i="13"/>
  <c r="O59" i="13"/>
  <c r="P59" i="13"/>
  <c r="Q59" i="13"/>
  <c r="R59" i="13"/>
  <c r="S59" i="13"/>
  <c r="T59" i="13"/>
  <c r="U59" i="13"/>
  <c r="V59" i="13"/>
  <c r="M45" i="13"/>
  <c r="N93" i="13"/>
  <c r="O93" i="13"/>
  <c r="N45" i="13"/>
  <c r="N49" i="13"/>
  <c r="N51" i="13"/>
  <c r="O51" i="13"/>
  <c r="P51" i="13"/>
  <c r="Q51" i="13"/>
  <c r="R51" i="13"/>
  <c r="S51" i="13"/>
  <c r="T51" i="13"/>
  <c r="U51" i="13"/>
  <c r="V51" i="13"/>
  <c r="O45" i="13"/>
  <c r="O49" i="13"/>
  <c r="P49" i="13"/>
  <c r="P93" i="13"/>
  <c r="P45" i="13"/>
  <c r="Q45" i="13"/>
  <c r="Q49" i="13"/>
  <c r="R49" i="13"/>
  <c r="S49" i="13"/>
  <c r="T49" i="13"/>
  <c r="U49" i="13"/>
  <c r="V49" i="13"/>
  <c r="R13" i="13"/>
  <c r="R18" i="13"/>
  <c r="R45" i="13"/>
  <c r="T93" i="13"/>
  <c r="U93" i="13"/>
  <c r="V93" i="13"/>
  <c r="D15" i="13"/>
  <c r="D20" i="13"/>
  <c r="D23" i="13"/>
  <c r="D22" i="13"/>
  <c r="D24" i="13"/>
  <c r="D42" i="13"/>
  <c r="D61" i="13"/>
  <c r="E42" i="13"/>
  <c r="E53" i="13"/>
  <c r="E61" i="13"/>
  <c r="E65" i="13"/>
  <c r="E89" i="13"/>
  <c r="F47" i="13"/>
  <c r="H67" i="13"/>
  <c r="I20" i="13"/>
  <c r="I45" i="13"/>
  <c r="S13" i="13"/>
  <c r="S14" i="13"/>
  <c r="T14" i="13"/>
  <c r="U14" i="13"/>
  <c r="V14" i="13"/>
  <c r="S18" i="13"/>
  <c r="S45" i="13"/>
  <c r="T13" i="13"/>
  <c r="T18" i="13"/>
  <c r="T45" i="13"/>
  <c r="U13" i="13"/>
  <c r="U18" i="13"/>
  <c r="U45" i="13"/>
  <c r="V13" i="13"/>
  <c r="V18" i="13"/>
  <c r="V45" i="13"/>
  <c r="C88" i="13"/>
  <c r="H24" i="13"/>
  <c r="G24" i="13"/>
  <c r="F24" i="13"/>
  <c r="E24" i="13"/>
  <c r="F20" i="13"/>
  <c r="E15" i="13"/>
  <c r="E20" i="13"/>
  <c r="E17" i="13"/>
  <c r="E19" i="13"/>
  <c r="Q18" i="13"/>
  <c r="F17" i="13"/>
  <c r="Q13" i="13"/>
  <c r="E100" i="12"/>
  <c r="E107" i="12"/>
  <c r="F100" i="12"/>
  <c r="D93" i="12"/>
  <c r="D94" i="12"/>
  <c r="E93" i="12"/>
  <c r="E94" i="12"/>
  <c r="F93" i="12"/>
  <c r="F94" i="12"/>
  <c r="G93" i="12"/>
  <c r="G94" i="12"/>
  <c r="H93" i="12"/>
  <c r="H94" i="12"/>
  <c r="I93" i="12"/>
  <c r="J93" i="12"/>
  <c r="K93" i="12"/>
  <c r="H13" i="12"/>
  <c r="H12" i="12"/>
  <c r="I5" i="12"/>
  <c r="F14" i="12"/>
  <c r="G14" i="12"/>
  <c r="H14" i="12"/>
  <c r="I14" i="12"/>
  <c r="J14" i="12"/>
  <c r="G17" i="12"/>
  <c r="H18" i="12"/>
  <c r="H17" i="12"/>
  <c r="I6" i="12"/>
  <c r="I18" i="12"/>
  <c r="J6" i="12"/>
  <c r="J18" i="12"/>
  <c r="J45" i="12"/>
  <c r="J49" i="12"/>
  <c r="F51" i="12"/>
  <c r="G51" i="12"/>
  <c r="H51" i="12"/>
  <c r="G59" i="12"/>
  <c r="H59" i="12"/>
  <c r="I59" i="12"/>
  <c r="J59" i="12"/>
  <c r="K59" i="12"/>
  <c r="L59" i="12"/>
  <c r="M59" i="12"/>
  <c r="N59" i="12"/>
  <c r="O59" i="12"/>
  <c r="P59" i="12"/>
  <c r="Q59" i="12"/>
  <c r="R59" i="12"/>
  <c r="S59" i="12"/>
  <c r="T59" i="12"/>
  <c r="U59" i="12"/>
  <c r="V59" i="12"/>
  <c r="K14" i="12"/>
  <c r="L14" i="12"/>
  <c r="M14" i="12"/>
  <c r="N14" i="12"/>
  <c r="O14" i="12"/>
  <c r="P14" i="12"/>
  <c r="Q14" i="12"/>
  <c r="R14" i="12"/>
  <c r="S14" i="12"/>
  <c r="T14" i="12"/>
  <c r="U14" i="12"/>
  <c r="K6" i="12"/>
  <c r="K18" i="12"/>
  <c r="K45" i="12"/>
  <c r="K49" i="12"/>
  <c r="M93" i="12"/>
  <c r="L6" i="12"/>
  <c r="L45" i="12"/>
  <c r="L49" i="12"/>
  <c r="M45" i="12"/>
  <c r="M49" i="12"/>
  <c r="N49" i="12"/>
  <c r="O49" i="12"/>
  <c r="P49" i="12"/>
  <c r="O93" i="12"/>
  <c r="N45" i="12"/>
  <c r="O45" i="12"/>
  <c r="P45" i="12"/>
  <c r="Q45" i="12"/>
  <c r="Q49" i="12"/>
  <c r="R49" i="12"/>
  <c r="S49" i="12"/>
  <c r="T49" i="12"/>
  <c r="U49" i="12"/>
  <c r="R13" i="12"/>
  <c r="R18" i="12"/>
  <c r="R45" i="12"/>
  <c r="S13" i="12"/>
  <c r="S18" i="12"/>
  <c r="S45" i="12"/>
  <c r="T45" i="12"/>
  <c r="T13" i="12"/>
  <c r="T18" i="12"/>
  <c r="T93" i="12"/>
  <c r="U45" i="12"/>
  <c r="U13" i="12"/>
  <c r="U18" i="12"/>
  <c r="V45" i="12"/>
  <c r="U93" i="12"/>
  <c r="I45" i="12"/>
  <c r="H67" i="12"/>
  <c r="H56" i="12"/>
  <c r="V93" i="12"/>
  <c r="D15" i="12"/>
  <c r="D20" i="12"/>
  <c r="D23" i="12"/>
  <c r="D42" i="12"/>
  <c r="D61" i="12"/>
  <c r="D65" i="12"/>
  <c r="D89" i="12"/>
  <c r="D91" i="12"/>
  <c r="E42" i="12"/>
  <c r="E53" i="12"/>
  <c r="F47" i="12"/>
  <c r="H20" i="12"/>
  <c r="V13" i="12"/>
  <c r="V14" i="12"/>
  <c r="V18" i="12"/>
  <c r="V49" i="12"/>
  <c r="C88" i="12"/>
  <c r="H22" i="12"/>
  <c r="G24" i="12"/>
  <c r="F24" i="12"/>
  <c r="E24" i="12"/>
  <c r="D22" i="12"/>
  <c r="D24" i="12"/>
  <c r="G20" i="12"/>
  <c r="F15" i="12"/>
  <c r="F20" i="12"/>
  <c r="E15" i="12"/>
  <c r="E20" i="12"/>
  <c r="Q18" i="12"/>
  <c r="F17" i="12"/>
  <c r="E17" i="12"/>
  <c r="G15" i="12"/>
  <c r="Q13" i="12"/>
  <c r="G17" i="11"/>
  <c r="G105" i="11"/>
  <c r="I105" i="11"/>
  <c r="J105" i="11"/>
  <c r="V103" i="11"/>
  <c r="X69" i="11"/>
  <c r="Y69" i="11"/>
  <c r="Y70" i="11"/>
  <c r="X73" i="11"/>
  <c r="Y73" i="11"/>
  <c r="X75" i="11"/>
  <c r="Y75" i="11"/>
  <c r="X76" i="11"/>
  <c r="Y76" i="11"/>
  <c r="X77" i="11"/>
  <c r="Y77" i="11"/>
  <c r="X78" i="11"/>
  <c r="Y78" i="11"/>
  <c r="X79" i="11"/>
  <c r="Y79" i="11"/>
  <c r="X80" i="11"/>
  <c r="Y80" i="11"/>
  <c r="X81" i="11"/>
  <c r="Y81" i="11"/>
  <c r="X82" i="11"/>
  <c r="Y82" i="11"/>
  <c r="Y84" i="11"/>
  <c r="Y102" i="11"/>
  <c r="Y103" i="11"/>
  <c r="D32" i="11"/>
  <c r="D34" i="11"/>
  <c r="E35" i="11"/>
  <c r="E39" i="11"/>
  <c r="G97" i="11"/>
  <c r="I97" i="11"/>
  <c r="G98" i="11"/>
  <c r="G99" i="11"/>
  <c r="G100" i="11"/>
  <c r="F103" i="11"/>
  <c r="E99" i="11"/>
  <c r="E100" i="11"/>
  <c r="E103" i="11"/>
  <c r="X71" i="11"/>
  <c r="X84" i="11"/>
  <c r="X94" i="11"/>
  <c r="X97" i="11"/>
  <c r="V100" i="11"/>
  <c r="X100" i="11"/>
  <c r="I100" i="11"/>
  <c r="J100" i="11"/>
  <c r="I98" i="11"/>
  <c r="J98" i="11"/>
  <c r="J97" i="11"/>
  <c r="D88" i="11"/>
  <c r="D89" i="11"/>
  <c r="E88" i="11"/>
  <c r="E89" i="11"/>
  <c r="F88" i="11"/>
  <c r="F89" i="11"/>
  <c r="G88" i="11"/>
  <c r="G89" i="11"/>
  <c r="H88" i="11"/>
  <c r="H89" i="11"/>
  <c r="I69" i="11"/>
  <c r="I88" i="11"/>
  <c r="J88" i="11"/>
  <c r="K88" i="11"/>
  <c r="L88" i="11"/>
  <c r="M88" i="11"/>
  <c r="N88" i="11"/>
  <c r="O88" i="11"/>
  <c r="P88" i="11"/>
  <c r="Q88" i="11"/>
  <c r="R88" i="11"/>
  <c r="S88" i="11"/>
  <c r="T88" i="11"/>
  <c r="U88" i="11"/>
  <c r="V88" i="11"/>
  <c r="D15" i="11"/>
  <c r="D20" i="11"/>
  <c r="D23" i="11"/>
  <c r="D29" i="11"/>
  <c r="D35" i="11"/>
  <c r="D36" i="11"/>
  <c r="D37" i="11"/>
  <c r="D38" i="11"/>
  <c r="D39" i="11"/>
  <c r="D40" i="11"/>
  <c r="D41" i="11"/>
  <c r="D42" i="11"/>
  <c r="E30" i="11"/>
  <c r="E32" i="11"/>
  <c r="E34" i="11"/>
  <c r="E36" i="11"/>
  <c r="E37" i="11"/>
  <c r="E38" i="11"/>
  <c r="E40" i="11"/>
  <c r="E41" i="11"/>
  <c r="E42" i="11"/>
  <c r="E50" i="11"/>
  <c r="F50" i="11"/>
  <c r="G50" i="11"/>
  <c r="F30" i="11"/>
  <c r="F32" i="11"/>
  <c r="F34" i="11"/>
  <c r="F36" i="11"/>
  <c r="F37" i="11"/>
  <c r="F38" i="11"/>
  <c r="F40" i="11"/>
  <c r="F41" i="11"/>
  <c r="F44" i="11"/>
  <c r="F48" i="11"/>
  <c r="G48" i="11"/>
  <c r="F14" i="11"/>
  <c r="G14" i="11"/>
  <c r="F17" i="11"/>
  <c r="G20" i="11"/>
  <c r="G30" i="11"/>
  <c r="G32" i="11"/>
  <c r="G34" i="11"/>
  <c r="G35" i="11"/>
  <c r="G36" i="11"/>
  <c r="G37" i="11"/>
  <c r="G38" i="11"/>
  <c r="G39" i="11"/>
  <c r="G40" i="11"/>
  <c r="G41" i="11"/>
  <c r="G56" i="11"/>
  <c r="H13" i="11"/>
  <c r="H12" i="11"/>
  <c r="H18" i="11"/>
  <c r="H17" i="11"/>
  <c r="H32" i="11"/>
  <c r="H34" i="11"/>
  <c r="H35" i="11"/>
  <c r="H36" i="11"/>
  <c r="H37" i="11"/>
  <c r="H38" i="11"/>
  <c r="H39" i="11"/>
  <c r="H40" i="11"/>
  <c r="H41" i="11"/>
  <c r="H48" i="11"/>
  <c r="H56" i="11"/>
  <c r="I5" i="11"/>
  <c r="J5" i="11"/>
  <c r="I13" i="11"/>
  <c r="I6" i="11"/>
  <c r="I32" i="11"/>
  <c r="I34" i="11"/>
  <c r="I35" i="11"/>
  <c r="I36" i="11"/>
  <c r="I37" i="11"/>
  <c r="I38" i="11"/>
  <c r="I39" i="11"/>
  <c r="I40" i="11"/>
  <c r="I41" i="11"/>
  <c r="I48" i="11"/>
  <c r="J48" i="11"/>
  <c r="K48" i="11"/>
  <c r="L48" i="11"/>
  <c r="M48" i="11"/>
  <c r="N48" i="11"/>
  <c r="I56" i="11"/>
  <c r="J56" i="11"/>
  <c r="K56" i="11"/>
  <c r="L56" i="11"/>
  <c r="M56" i="11"/>
  <c r="N56" i="11"/>
  <c r="O56" i="11"/>
  <c r="J32" i="11"/>
  <c r="J34" i="11"/>
  <c r="J35" i="11"/>
  <c r="J36" i="11"/>
  <c r="J37" i="11"/>
  <c r="J38" i="11"/>
  <c r="J39" i="11"/>
  <c r="J40" i="11"/>
  <c r="J41" i="11"/>
  <c r="J46" i="11"/>
  <c r="K46" i="11"/>
  <c r="L46" i="11"/>
  <c r="M46" i="11"/>
  <c r="K32" i="11"/>
  <c r="K35" i="11"/>
  <c r="K36" i="11"/>
  <c r="K37" i="11"/>
  <c r="K38" i="11"/>
  <c r="K39" i="11"/>
  <c r="K40" i="11"/>
  <c r="K41" i="11"/>
  <c r="K58" i="11"/>
  <c r="L35" i="11"/>
  <c r="L36" i="11"/>
  <c r="L37" i="11"/>
  <c r="L38" i="11"/>
  <c r="L39" i="11"/>
  <c r="L40" i="11"/>
  <c r="L41" i="11"/>
  <c r="L58" i="11"/>
  <c r="M32" i="11"/>
  <c r="M36" i="11"/>
  <c r="M37" i="11"/>
  <c r="M38" i="11"/>
  <c r="M39" i="11"/>
  <c r="M40" i="11"/>
  <c r="M41" i="11"/>
  <c r="M58" i="11"/>
  <c r="N32" i="11"/>
  <c r="O32" i="11"/>
  <c r="N37" i="11"/>
  <c r="N38" i="11"/>
  <c r="N39" i="11"/>
  <c r="N40" i="11"/>
  <c r="N41" i="11"/>
  <c r="N46" i="11"/>
  <c r="N58" i="11"/>
  <c r="O46" i="11"/>
  <c r="P46" i="11"/>
  <c r="Q46" i="11"/>
  <c r="R46" i="11"/>
  <c r="S46" i="11"/>
  <c r="T46" i="11"/>
  <c r="U46" i="11"/>
  <c r="V46" i="11"/>
  <c r="O37" i="11"/>
  <c r="O38" i="11"/>
  <c r="O39" i="11"/>
  <c r="O40" i="11"/>
  <c r="O41" i="11"/>
  <c r="O48" i="11"/>
  <c r="P48" i="11"/>
  <c r="Q48" i="11"/>
  <c r="R48" i="11"/>
  <c r="P32" i="11"/>
  <c r="P37" i="11"/>
  <c r="P38" i="11"/>
  <c r="P39" i="11"/>
  <c r="Q39" i="11"/>
  <c r="R39" i="11"/>
  <c r="P40" i="11"/>
  <c r="Q40" i="11"/>
  <c r="R40" i="11"/>
  <c r="S40" i="11"/>
  <c r="P41" i="11"/>
  <c r="P56" i="11"/>
  <c r="Q56" i="11"/>
  <c r="R56" i="11"/>
  <c r="S56" i="11"/>
  <c r="T56" i="11"/>
  <c r="U56" i="11"/>
  <c r="V56" i="11"/>
  <c r="Q38" i="11"/>
  <c r="Q41" i="11"/>
  <c r="R13" i="11"/>
  <c r="R18" i="11"/>
  <c r="R38" i="11"/>
  <c r="R41" i="11"/>
  <c r="S41" i="11"/>
  <c r="T41" i="11"/>
  <c r="U41" i="11"/>
  <c r="V41" i="11"/>
  <c r="S13" i="11"/>
  <c r="S18" i="11"/>
  <c r="S39" i="11"/>
  <c r="T39" i="11"/>
  <c r="U39" i="11"/>
  <c r="S48" i="11"/>
  <c r="T48" i="11"/>
  <c r="U48" i="11"/>
  <c r="V48" i="11"/>
  <c r="T13" i="11"/>
  <c r="T18" i="11"/>
  <c r="T40" i="11"/>
  <c r="U40" i="11"/>
  <c r="V40" i="11"/>
  <c r="U13" i="11"/>
  <c r="U18" i="11"/>
  <c r="V13" i="11"/>
  <c r="V18" i="11"/>
  <c r="C73" i="11"/>
  <c r="C83" i="11"/>
  <c r="H22" i="11"/>
  <c r="G24" i="11"/>
  <c r="F24" i="11"/>
  <c r="E24" i="11"/>
  <c r="D22" i="11"/>
  <c r="D24" i="11"/>
  <c r="F15" i="11"/>
  <c r="F20" i="11"/>
  <c r="E15" i="11"/>
  <c r="E20" i="11"/>
  <c r="Q18" i="11"/>
  <c r="E17" i="11"/>
  <c r="Q13" i="11"/>
  <c r="G103" i="7"/>
  <c r="I103" i="7"/>
  <c r="J103" i="7"/>
  <c r="G95" i="7"/>
  <c r="I95" i="7"/>
  <c r="J95" i="7"/>
  <c r="D86" i="7"/>
  <c r="D87" i="7"/>
  <c r="E86" i="7"/>
  <c r="E87" i="7"/>
  <c r="F86" i="7"/>
  <c r="F87" i="7"/>
  <c r="G86" i="7"/>
  <c r="G87" i="7"/>
  <c r="H86" i="7"/>
  <c r="H87" i="7"/>
  <c r="I67" i="7"/>
  <c r="I86" i="7"/>
  <c r="I87" i="7"/>
  <c r="J86" i="7"/>
  <c r="J87" i="7"/>
  <c r="K86" i="7"/>
  <c r="K87" i="7"/>
  <c r="L86" i="7"/>
  <c r="L87" i="7"/>
  <c r="M86" i="7"/>
  <c r="M87" i="7"/>
  <c r="N86" i="7"/>
  <c r="N87" i="7"/>
  <c r="O86" i="7"/>
  <c r="O87" i="7"/>
  <c r="P86" i="7"/>
  <c r="P87" i="7"/>
  <c r="Q86" i="7"/>
  <c r="Q87" i="7"/>
  <c r="R86" i="7"/>
  <c r="R87" i="7"/>
  <c r="S86" i="7"/>
  <c r="S87" i="7"/>
  <c r="T86" i="7"/>
  <c r="T87" i="7"/>
  <c r="U86" i="7"/>
  <c r="U87" i="7"/>
  <c r="V86" i="7"/>
  <c r="V87" i="7"/>
  <c r="F44" i="7"/>
  <c r="F48" i="7"/>
  <c r="F14" i="7"/>
  <c r="F15" i="7"/>
  <c r="F20" i="7"/>
  <c r="F17" i="7"/>
  <c r="E17" i="7"/>
  <c r="V101" i="7"/>
  <c r="X67" i="7"/>
  <c r="Y67" i="7"/>
  <c r="Y68" i="7"/>
  <c r="X71" i="7"/>
  <c r="Y71" i="7"/>
  <c r="J32" i="7"/>
  <c r="X73" i="7"/>
  <c r="Y73" i="7"/>
  <c r="H34" i="7"/>
  <c r="X74" i="7"/>
  <c r="Y74" i="7"/>
  <c r="X75" i="7"/>
  <c r="Y75" i="7"/>
  <c r="X76" i="7"/>
  <c r="Y76" i="7"/>
  <c r="X77" i="7"/>
  <c r="Y77" i="7"/>
  <c r="G38" i="7"/>
  <c r="X78" i="7"/>
  <c r="Y78" i="7"/>
  <c r="X79" i="7"/>
  <c r="Y79" i="7"/>
  <c r="X80" i="7"/>
  <c r="Y80" i="7"/>
  <c r="G96" i="7"/>
  <c r="G97" i="7"/>
  <c r="G98" i="7"/>
  <c r="I98" i="7"/>
  <c r="J98" i="7"/>
  <c r="F101" i="7"/>
  <c r="E97" i="7"/>
  <c r="E98" i="7"/>
  <c r="E101" i="7"/>
  <c r="X69" i="7"/>
  <c r="X82" i="7"/>
  <c r="X92" i="7"/>
  <c r="X95" i="7"/>
  <c r="V98" i="7"/>
  <c r="X98" i="7"/>
  <c r="D15" i="7"/>
  <c r="D20" i="7"/>
  <c r="D23" i="7"/>
  <c r="D29" i="7"/>
  <c r="D35" i="7"/>
  <c r="D39" i="7"/>
  <c r="D40" i="7"/>
  <c r="D42" i="7"/>
  <c r="E30" i="7"/>
  <c r="F30" i="7"/>
  <c r="E32" i="7"/>
  <c r="E40" i="7"/>
  <c r="E41" i="7"/>
  <c r="E42" i="7"/>
  <c r="E50" i="7"/>
  <c r="F50" i="7"/>
  <c r="F32" i="7"/>
  <c r="F36" i="7"/>
  <c r="F40" i="7"/>
  <c r="F41" i="7"/>
  <c r="F46" i="7"/>
  <c r="G13" i="7"/>
  <c r="G12" i="7"/>
  <c r="G14" i="7"/>
  <c r="H14" i="7"/>
  <c r="I14" i="7"/>
  <c r="J14" i="7"/>
  <c r="K14" i="7"/>
  <c r="L14" i="7"/>
  <c r="M14" i="7"/>
  <c r="N14" i="7"/>
  <c r="O14" i="7"/>
  <c r="P14" i="7"/>
  <c r="Q14" i="7"/>
  <c r="R14" i="7"/>
  <c r="S14" i="7"/>
  <c r="T14" i="7"/>
  <c r="U14" i="7"/>
  <c r="V14" i="7"/>
  <c r="G18" i="7"/>
  <c r="G17" i="7"/>
  <c r="H6" i="7"/>
  <c r="H18" i="7"/>
  <c r="H17" i="7"/>
  <c r="G32" i="7"/>
  <c r="G41" i="7"/>
  <c r="G46" i="7"/>
  <c r="G48" i="7"/>
  <c r="G54" i="7"/>
  <c r="H5" i="7"/>
  <c r="H13" i="7"/>
  <c r="H20" i="7"/>
  <c r="H35" i="7"/>
  <c r="H38" i="7"/>
  <c r="H39" i="7"/>
  <c r="H46" i="7"/>
  <c r="H48" i="7"/>
  <c r="H54" i="7"/>
  <c r="I5" i="7"/>
  <c r="I13" i="7"/>
  <c r="I6" i="7"/>
  <c r="I35" i="7"/>
  <c r="I38" i="7"/>
  <c r="I39" i="7"/>
  <c r="I48" i="7"/>
  <c r="J48" i="7"/>
  <c r="K48" i="7"/>
  <c r="L48" i="7"/>
  <c r="M48" i="7"/>
  <c r="N48" i="7"/>
  <c r="O48" i="7"/>
  <c r="I54" i="7"/>
  <c r="J54" i="7"/>
  <c r="J5" i="7"/>
  <c r="J35" i="7"/>
  <c r="J39" i="7"/>
  <c r="J46" i="7"/>
  <c r="K46" i="7"/>
  <c r="L46" i="7"/>
  <c r="M46" i="7"/>
  <c r="N46" i="7"/>
  <c r="K32" i="7"/>
  <c r="K36" i="7"/>
  <c r="K38" i="7"/>
  <c r="K40" i="7"/>
  <c r="K41" i="7"/>
  <c r="K54" i="7"/>
  <c r="L36" i="7"/>
  <c r="L38" i="7"/>
  <c r="L40" i="7"/>
  <c r="L41" i="7"/>
  <c r="L54" i="7"/>
  <c r="M54" i="7"/>
  <c r="N54" i="7"/>
  <c r="O54" i="7"/>
  <c r="P54" i="7"/>
  <c r="Q54" i="7"/>
  <c r="R54" i="7"/>
  <c r="S54" i="7"/>
  <c r="T54" i="7"/>
  <c r="U54" i="7"/>
  <c r="V54" i="7"/>
  <c r="M36" i="7"/>
  <c r="M38" i="7"/>
  <c r="M39" i="7"/>
  <c r="M40" i="7"/>
  <c r="N39" i="7"/>
  <c r="N40" i="7"/>
  <c r="N41" i="7"/>
  <c r="O38" i="7"/>
  <c r="O39" i="7"/>
  <c r="O40" i="7"/>
  <c r="O41" i="7"/>
  <c r="O46" i="7"/>
  <c r="P46" i="7"/>
  <c r="Q46" i="7"/>
  <c r="R46" i="7"/>
  <c r="P38" i="7"/>
  <c r="Q38" i="7"/>
  <c r="R38" i="7"/>
  <c r="P39" i="7"/>
  <c r="Q39" i="7"/>
  <c r="R39" i="7"/>
  <c r="S39" i="7"/>
  <c r="T39" i="7"/>
  <c r="U39" i="7"/>
  <c r="P40" i="7"/>
  <c r="P41" i="7"/>
  <c r="P48" i="7"/>
  <c r="Q48" i="7"/>
  <c r="R48" i="7"/>
  <c r="S48" i="7"/>
  <c r="Q40" i="7"/>
  <c r="Q41" i="7"/>
  <c r="R41" i="7"/>
  <c r="S41" i="7"/>
  <c r="T41" i="7"/>
  <c r="U41" i="7"/>
  <c r="V41" i="7"/>
  <c r="R13" i="7"/>
  <c r="R18" i="7"/>
  <c r="R40" i="7"/>
  <c r="S13" i="7"/>
  <c r="S18" i="7"/>
  <c r="S40" i="7"/>
  <c r="T40" i="7"/>
  <c r="U40" i="7"/>
  <c r="V40" i="7"/>
  <c r="S46" i="7"/>
  <c r="T46" i="7"/>
  <c r="U46" i="7"/>
  <c r="T13" i="7"/>
  <c r="T18" i="7"/>
  <c r="T48" i="7"/>
  <c r="U48" i="7"/>
  <c r="V48" i="7"/>
  <c r="U13" i="7"/>
  <c r="U18" i="7"/>
  <c r="V13" i="7"/>
  <c r="V18" i="7"/>
  <c r="V46" i="7"/>
  <c r="C71" i="7"/>
  <c r="C81" i="7"/>
  <c r="G22" i="7"/>
  <c r="F24" i="7"/>
  <c r="E24" i="7"/>
  <c r="D22" i="7"/>
  <c r="D24" i="7"/>
  <c r="E15" i="7"/>
  <c r="E20" i="7"/>
  <c r="Q18" i="7"/>
  <c r="Q13" i="7"/>
  <c r="X90" i="5"/>
  <c r="E15" i="5"/>
  <c r="E20" i="5"/>
  <c r="F5" i="5"/>
  <c r="E50" i="5"/>
  <c r="F46" i="5"/>
  <c r="E42" i="5"/>
  <c r="D42" i="5"/>
  <c r="G95" i="5"/>
  <c r="G96" i="5"/>
  <c r="G97" i="5"/>
  <c r="E86" i="5"/>
  <c r="E17" i="5"/>
  <c r="F18" i="5"/>
  <c r="F17" i="5"/>
  <c r="F13" i="5"/>
  <c r="F12" i="5"/>
  <c r="F22" i="5"/>
  <c r="F14" i="5"/>
  <c r="X67" i="5"/>
  <c r="Y67" i="5"/>
  <c r="Y68" i="5"/>
  <c r="X71" i="5"/>
  <c r="Y71" i="5"/>
  <c r="X73" i="5"/>
  <c r="Y73" i="5"/>
  <c r="X74" i="5"/>
  <c r="Y74" i="5"/>
  <c r="X75" i="5"/>
  <c r="Y75" i="5"/>
  <c r="X76" i="5"/>
  <c r="Y76" i="5"/>
  <c r="X77" i="5"/>
  <c r="Y77" i="5"/>
  <c r="X78" i="5"/>
  <c r="Y78" i="5"/>
  <c r="X79" i="5"/>
  <c r="Y79" i="5"/>
  <c r="X80" i="5"/>
  <c r="Y80" i="5"/>
  <c r="Y82" i="5"/>
  <c r="Y98" i="5"/>
  <c r="H36" i="5"/>
  <c r="K38" i="5"/>
  <c r="H40" i="5"/>
  <c r="G93" i="5"/>
  <c r="G94" i="5"/>
  <c r="G99" i="5"/>
  <c r="F99" i="5"/>
  <c r="E95" i="5"/>
  <c r="E96" i="5"/>
  <c r="E99" i="5"/>
  <c r="X69" i="5"/>
  <c r="D15" i="5"/>
  <c r="D20" i="5"/>
  <c r="D29" i="5"/>
  <c r="D34" i="5"/>
  <c r="D36" i="5"/>
  <c r="D38" i="5"/>
  <c r="D40" i="5"/>
  <c r="E30" i="5"/>
  <c r="E34" i="5"/>
  <c r="E36" i="5"/>
  <c r="E38" i="5"/>
  <c r="E40" i="5"/>
  <c r="F34" i="5"/>
  <c r="F36" i="5"/>
  <c r="F38" i="5"/>
  <c r="F40" i="5"/>
  <c r="G5" i="5"/>
  <c r="G14" i="5"/>
  <c r="G6" i="5"/>
  <c r="G18" i="5"/>
  <c r="G34" i="5"/>
  <c r="G36" i="5"/>
  <c r="G38" i="5"/>
  <c r="G40" i="5"/>
  <c r="G46" i="5"/>
  <c r="H46" i="5"/>
  <c r="G48" i="5"/>
  <c r="G54" i="5"/>
  <c r="H54" i="5"/>
  <c r="H14" i="5"/>
  <c r="H6" i="5"/>
  <c r="H18" i="5"/>
  <c r="H34" i="5"/>
  <c r="H35" i="5"/>
  <c r="H38" i="5"/>
  <c r="H39" i="5"/>
  <c r="H48" i="5"/>
  <c r="I48" i="5"/>
  <c r="J48" i="5"/>
  <c r="K48" i="5"/>
  <c r="L48" i="5"/>
  <c r="M48" i="5"/>
  <c r="N48" i="5"/>
  <c r="O48" i="5"/>
  <c r="P48" i="5"/>
  <c r="Q48" i="5"/>
  <c r="R48" i="5"/>
  <c r="S48" i="5"/>
  <c r="T48" i="5"/>
  <c r="U48" i="5"/>
  <c r="V48" i="5"/>
  <c r="I67" i="5"/>
  <c r="I14" i="5"/>
  <c r="I6" i="5"/>
  <c r="I34" i="5"/>
  <c r="I35" i="5"/>
  <c r="I38" i="5"/>
  <c r="I54" i="5"/>
  <c r="J54" i="5"/>
  <c r="K54" i="5"/>
  <c r="L54" i="5"/>
  <c r="M54" i="5"/>
  <c r="J14" i="5"/>
  <c r="K14" i="5"/>
  <c r="L14" i="5"/>
  <c r="M14" i="5"/>
  <c r="N14" i="5"/>
  <c r="O14" i="5"/>
  <c r="P14" i="5"/>
  <c r="Q14" i="5"/>
  <c r="R14" i="5"/>
  <c r="S14" i="5"/>
  <c r="T14" i="5"/>
  <c r="U14" i="5"/>
  <c r="V14" i="5"/>
  <c r="J34" i="5"/>
  <c r="J36" i="5"/>
  <c r="J38" i="5"/>
  <c r="J40" i="5"/>
  <c r="J46" i="5"/>
  <c r="K46" i="5"/>
  <c r="L46" i="5"/>
  <c r="M46" i="5"/>
  <c r="N46" i="5"/>
  <c r="O46" i="5"/>
  <c r="P46" i="5"/>
  <c r="Q46" i="5"/>
  <c r="R46" i="5"/>
  <c r="S46" i="5"/>
  <c r="T46" i="5"/>
  <c r="U46" i="5"/>
  <c r="V46" i="5"/>
  <c r="K36" i="5"/>
  <c r="K37" i="5"/>
  <c r="K40" i="5"/>
  <c r="K41" i="5"/>
  <c r="L36" i="5"/>
  <c r="L37" i="5"/>
  <c r="L40" i="5"/>
  <c r="L41" i="5"/>
  <c r="M36" i="5"/>
  <c r="M37" i="5"/>
  <c r="M40" i="5"/>
  <c r="M41" i="5"/>
  <c r="N38" i="5"/>
  <c r="N40" i="5"/>
  <c r="N54" i="5"/>
  <c r="O54" i="5"/>
  <c r="O37" i="5"/>
  <c r="O38" i="5"/>
  <c r="O39" i="5"/>
  <c r="P38" i="5"/>
  <c r="P40" i="5"/>
  <c r="Q40" i="5"/>
  <c r="R40" i="5"/>
  <c r="S40" i="5"/>
  <c r="T40" i="5"/>
  <c r="U40" i="5"/>
  <c r="V40" i="5"/>
  <c r="P54" i="5"/>
  <c r="Q38" i="5"/>
  <c r="R38" i="5"/>
  <c r="Q54" i="5"/>
  <c r="R54" i="5"/>
  <c r="S54" i="5"/>
  <c r="T54" i="5"/>
  <c r="U54" i="5"/>
  <c r="V54" i="5"/>
  <c r="R13" i="5"/>
  <c r="R18" i="5"/>
  <c r="S13" i="5"/>
  <c r="S18" i="5"/>
  <c r="T13" i="5"/>
  <c r="T18" i="5"/>
  <c r="U13" i="5"/>
  <c r="U18" i="5"/>
  <c r="V13" i="5"/>
  <c r="V18" i="5"/>
  <c r="C71" i="5"/>
  <c r="C81" i="5"/>
  <c r="E24" i="5"/>
  <c r="D22" i="5"/>
  <c r="Q18" i="5"/>
  <c r="Q13" i="5"/>
  <c r="X74" i="3"/>
  <c r="Y74" i="3"/>
  <c r="D39" i="3"/>
  <c r="P39" i="3"/>
  <c r="Q39" i="3"/>
  <c r="R39" i="3"/>
  <c r="S39" i="3"/>
  <c r="T39" i="3"/>
  <c r="U39" i="3"/>
  <c r="X75" i="3"/>
  <c r="Y75" i="3"/>
  <c r="P40" i="3"/>
  <c r="Q40" i="3"/>
  <c r="R40" i="3"/>
  <c r="S40" i="3"/>
  <c r="T40" i="3"/>
  <c r="U40" i="3"/>
  <c r="V40" i="3"/>
  <c r="X76" i="3"/>
  <c r="Y76" i="3"/>
  <c r="P41" i="3"/>
  <c r="Q41" i="3"/>
  <c r="R41" i="3"/>
  <c r="S41" i="3"/>
  <c r="T41" i="3"/>
  <c r="U41" i="3"/>
  <c r="V41" i="3"/>
  <c r="X67" i="3"/>
  <c r="Y67" i="3"/>
  <c r="M32" i="3"/>
  <c r="E39" i="3"/>
  <c r="E41" i="3"/>
  <c r="G39" i="3"/>
  <c r="G41" i="3"/>
  <c r="I39" i="3"/>
  <c r="J39" i="3"/>
  <c r="K39" i="3"/>
  <c r="L39" i="3"/>
  <c r="M39" i="3"/>
  <c r="M40" i="3"/>
  <c r="N39" i="3"/>
  <c r="N40" i="3"/>
  <c r="N41" i="3"/>
  <c r="O40" i="3"/>
  <c r="S13" i="3"/>
  <c r="T13" i="3"/>
  <c r="U13" i="3"/>
  <c r="V13" i="3"/>
  <c r="S18" i="3"/>
  <c r="T18" i="3"/>
  <c r="U18" i="3"/>
  <c r="V18" i="3"/>
  <c r="E13" i="3"/>
  <c r="E12" i="3"/>
  <c r="E14" i="3"/>
  <c r="F14" i="3"/>
  <c r="G14" i="3"/>
  <c r="H14" i="3"/>
  <c r="I14" i="3"/>
  <c r="J14" i="3"/>
  <c r="K14" i="3"/>
  <c r="L14" i="3"/>
  <c r="M14" i="3"/>
  <c r="N14" i="3"/>
  <c r="O14" i="3"/>
  <c r="P14" i="3"/>
  <c r="Q14" i="3"/>
  <c r="R14" i="3"/>
  <c r="S14" i="3"/>
  <c r="T14" i="3"/>
  <c r="U14" i="3"/>
  <c r="V14" i="3"/>
  <c r="E18" i="3"/>
  <c r="E17" i="3"/>
  <c r="E19" i="3"/>
  <c r="E20" i="3"/>
  <c r="F5" i="3"/>
  <c r="G5" i="3"/>
  <c r="G13" i="3"/>
  <c r="F13" i="3"/>
  <c r="F6" i="3"/>
  <c r="D15" i="3"/>
  <c r="D20" i="3"/>
  <c r="D23" i="3"/>
  <c r="H5" i="3"/>
  <c r="R13" i="3"/>
  <c r="R18" i="3"/>
  <c r="J44" i="3"/>
  <c r="K44" i="3"/>
  <c r="L44" i="3"/>
  <c r="M44" i="3"/>
  <c r="N44" i="3"/>
  <c r="O44" i="3"/>
  <c r="P44" i="3"/>
  <c r="Q44" i="3"/>
  <c r="R44" i="3"/>
  <c r="S44" i="3"/>
  <c r="T44" i="3"/>
  <c r="U44" i="3"/>
  <c r="V44" i="3"/>
  <c r="F47" i="3"/>
  <c r="G47" i="3"/>
  <c r="H47" i="3"/>
  <c r="I47" i="3"/>
  <c r="J47" i="3"/>
  <c r="K47" i="3"/>
  <c r="L47" i="3"/>
  <c r="M47" i="3"/>
  <c r="N47" i="3"/>
  <c r="O47" i="3"/>
  <c r="P47" i="3"/>
  <c r="Q47" i="3"/>
  <c r="R47" i="3"/>
  <c r="S47" i="3"/>
  <c r="T47" i="3"/>
  <c r="U47" i="3"/>
  <c r="V47" i="3"/>
  <c r="G51" i="3"/>
  <c r="H51" i="3"/>
  <c r="I51" i="3"/>
  <c r="J51" i="3"/>
  <c r="K51" i="3"/>
  <c r="L51" i="3"/>
  <c r="M51" i="3"/>
  <c r="N51" i="3"/>
  <c r="O51" i="3"/>
  <c r="P51" i="3"/>
  <c r="Q51" i="3"/>
  <c r="R51" i="3"/>
  <c r="S51" i="3"/>
  <c r="T51" i="3"/>
  <c r="U51" i="3"/>
  <c r="V51" i="3"/>
  <c r="X73" i="3"/>
  <c r="Y73" i="3"/>
  <c r="M38" i="3"/>
  <c r="P38" i="3"/>
  <c r="Q38" i="3"/>
  <c r="R38" i="3"/>
  <c r="X72" i="3"/>
  <c r="Y72" i="3"/>
  <c r="O37" i="3"/>
  <c r="P37" i="3"/>
  <c r="N37" i="3"/>
  <c r="N38" i="3"/>
  <c r="X71" i="3"/>
  <c r="Y71" i="3"/>
  <c r="L36" i="3"/>
  <c r="M36" i="3"/>
  <c r="M37" i="3"/>
  <c r="X70" i="3"/>
  <c r="Y70" i="3"/>
  <c r="I35" i="3"/>
  <c r="L35" i="3"/>
  <c r="L38" i="3"/>
  <c r="K35" i="3"/>
  <c r="K38" i="3"/>
  <c r="X69" i="3"/>
  <c r="Y69" i="3"/>
  <c r="J35" i="3"/>
  <c r="J36" i="3"/>
  <c r="Y65" i="3"/>
  <c r="E30" i="3"/>
  <c r="I36" i="3"/>
  <c r="I37" i="3"/>
  <c r="H35" i="3"/>
  <c r="H36" i="3"/>
  <c r="F44" i="3"/>
  <c r="G44" i="3"/>
  <c r="H44" i="3"/>
  <c r="F45" i="3"/>
  <c r="G45" i="3"/>
  <c r="H45" i="3"/>
  <c r="G36" i="3"/>
  <c r="G37" i="3"/>
  <c r="F35" i="3"/>
  <c r="F36" i="3"/>
  <c r="F38" i="3"/>
  <c r="E35" i="3"/>
  <c r="E37" i="3"/>
  <c r="E38" i="3"/>
  <c r="D29" i="3"/>
  <c r="D36" i="3"/>
  <c r="D37" i="3"/>
  <c r="D42" i="3"/>
  <c r="Q18" i="3"/>
  <c r="Q13" i="3"/>
  <c r="G91" i="3"/>
  <c r="G92" i="3"/>
  <c r="E82" i="3"/>
  <c r="E22" i="3"/>
  <c r="D22" i="3"/>
  <c r="X64" i="3"/>
  <c r="X66" i="3"/>
  <c r="E92" i="3"/>
  <c r="E91" i="3"/>
  <c r="G89" i="3"/>
  <c r="G90" i="3"/>
  <c r="G93" i="3"/>
  <c r="G95" i="3"/>
  <c r="F95" i="3"/>
  <c r="Y64" i="3"/>
  <c r="I64" i="3"/>
  <c r="E95" i="3"/>
  <c r="C67" i="3"/>
  <c r="C77" i="3"/>
  <c r="E62" i="2"/>
  <c r="E63" i="2"/>
  <c r="E64" i="2"/>
  <c r="E65" i="2"/>
  <c r="E66" i="2"/>
  <c r="E68" i="2"/>
  <c r="F6" i="2"/>
  <c r="T37" i="2"/>
  <c r="U37" i="2"/>
  <c r="T39" i="2"/>
  <c r="T41" i="2"/>
  <c r="U41" i="2"/>
  <c r="H14" i="2"/>
  <c r="T42" i="2"/>
  <c r="U42" i="2"/>
  <c r="D15" i="2"/>
  <c r="T43" i="2"/>
  <c r="U43" i="2"/>
  <c r="D16" i="2"/>
  <c r="T44" i="2"/>
  <c r="U44" i="2"/>
  <c r="K17" i="2"/>
  <c r="T45" i="2"/>
  <c r="U45" i="2"/>
  <c r="H18" i="2"/>
  <c r="T46" i="2"/>
  <c r="U46" i="2"/>
  <c r="D19" i="2"/>
  <c r="T47" i="2"/>
  <c r="U47" i="2"/>
  <c r="D20" i="2"/>
  <c r="T48" i="2"/>
  <c r="U48" i="2"/>
  <c r="T38" i="2"/>
  <c r="D10" i="2"/>
  <c r="D14" i="2"/>
  <c r="D18" i="2"/>
  <c r="E14" i="2"/>
  <c r="E18" i="2"/>
  <c r="E28" i="2"/>
  <c r="F16" i="2"/>
  <c r="F20" i="2"/>
  <c r="F23" i="2"/>
  <c r="F24" i="2"/>
  <c r="F26" i="2"/>
  <c r="G26" i="2"/>
  <c r="H26" i="2"/>
  <c r="I26" i="2"/>
  <c r="J26" i="2"/>
  <c r="K26" i="2"/>
  <c r="L26" i="2"/>
  <c r="M26" i="2"/>
  <c r="N26" i="2"/>
  <c r="O26" i="2"/>
  <c r="P26" i="2"/>
  <c r="Q26" i="2"/>
  <c r="R26" i="2"/>
  <c r="G14" i="2"/>
  <c r="G18" i="2"/>
  <c r="G19" i="2"/>
  <c r="G23" i="2"/>
  <c r="H23" i="2"/>
  <c r="G24" i="2"/>
  <c r="H24" i="2"/>
  <c r="G28" i="2"/>
  <c r="H16" i="2"/>
  <c r="H17" i="2"/>
  <c r="H20" i="2"/>
  <c r="H21" i="2"/>
  <c r="H28" i="2"/>
  <c r="I28" i="2"/>
  <c r="J28" i="2"/>
  <c r="K28" i="2"/>
  <c r="L28" i="2"/>
  <c r="M28" i="2"/>
  <c r="N28" i="2"/>
  <c r="O28" i="2"/>
  <c r="P28" i="2"/>
  <c r="Q28" i="2"/>
  <c r="R28" i="2"/>
  <c r="I37" i="2"/>
  <c r="I14" i="2"/>
  <c r="I18" i="2"/>
  <c r="I23" i="2"/>
  <c r="J23" i="2"/>
  <c r="K23" i="2"/>
  <c r="L23" i="2"/>
  <c r="M23" i="2"/>
  <c r="N23" i="2"/>
  <c r="O23" i="2"/>
  <c r="P23" i="2"/>
  <c r="Q23" i="2"/>
  <c r="R23" i="2"/>
  <c r="J16" i="2"/>
  <c r="J17" i="2"/>
  <c r="J20" i="2"/>
  <c r="J21" i="2"/>
  <c r="K16" i="2"/>
  <c r="K20" i="2"/>
  <c r="K21" i="2"/>
  <c r="L16" i="2"/>
  <c r="L17" i="2"/>
  <c r="L20" i="2"/>
  <c r="L21" i="2"/>
  <c r="M18" i="2"/>
  <c r="N20" i="2"/>
  <c r="O18" i="2"/>
  <c r="P18" i="2"/>
  <c r="P20" i="2"/>
  <c r="Q20" i="2"/>
  <c r="R20" i="2"/>
  <c r="Q18" i="2"/>
  <c r="G15" i="2"/>
  <c r="R57" i="2"/>
  <c r="G6" i="2"/>
  <c r="R54" i="2"/>
  <c r="F30" i="3"/>
  <c r="F21" i="2"/>
  <c r="N21" i="2"/>
  <c r="P21" i="2"/>
  <c r="Q21" i="2"/>
  <c r="R21" i="2"/>
  <c r="D21" i="2"/>
  <c r="G21" i="2"/>
  <c r="E21" i="2"/>
  <c r="I21" i="2"/>
  <c r="M21" i="2"/>
  <c r="O21" i="2"/>
  <c r="U39" i="2"/>
  <c r="T50" i="2"/>
  <c r="T54" i="2"/>
  <c r="C39" i="2"/>
  <c r="C49" i="2"/>
  <c r="Y78" i="3"/>
  <c r="Y94" i="3"/>
  <c r="X78" i="3"/>
  <c r="X89" i="3"/>
  <c r="N32" i="3"/>
  <c r="H13" i="3"/>
  <c r="I5" i="3"/>
  <c r="D24" i="3"/>
  <c r="F17" i="2"/>
  <c r="N17" i="2"/>
  <c r="P17" i="2"/>
  <c r="G17" i="2"/>
  <c r="I17" i="2"/>
  <c r="O17" i="2"/>
  <c r="D17" i="2"/>
  <c r="M17" i="2"/>
  <c r="E17" i="2"/>
  <c r="E15" i="3"/>
  <c r="E23" i="3"/>
  <c r="E15" i="2"/>
  <c r="I15" i="2"/>
  <c r="H15" i="2"/>
  <c r="J15" i="2"/>
  <c r="L15" i="2"/>
  <c r="K15" i="2"/>
  <c r="F15" i="2"/>
  <c r="E19" i="2"/>
  <c r="I19" i="2"/>
  <c r="M19" i="2"/>
  <c r="O19" i="2"/>
  <c r="K19" i="2"/>
  <c r="L19" i="2"/>
  <c r="H19" i="2"/>
  <c r="J19" i="2"/>
  <c r="F19" i="2"/>
  <c r="N19" i="2"/>
  <c r="P19" i="2"/>
  <c r="Q19" i="2"/>
  <c r="R19" i="2"/>
  <c r="I34" i="3"/>
  <c r="G34" i="3"/>
  <c r="D34" i="3"/>
  <c r="J34" i="3"/>
  <c r="H34" i="3"/>
  <c r="F34" i="3"/>
  <c r="E34" i="3"/>
  <c r="F18" i="3"/>
  <c r="G6" i="3"/>
  <c r="D37" i="7"/>
  <c r="H37" i="7"/>
  <c r="I37" i="7"/>
  <c r="K37" i="7"/>
  <c r="M37" i="7"/>
  <c r="E37" i="7"/>
  <c r="G37" i="7"/>
  <c r="J37" i="7"/>
  <c r="P37" i="7"/>
  <c r="L37" i="7"/>
  <c r="O37" i="7"/>
  <c r="O41" i="3"/>
  <c r="K32" i="3"/>
  <c r="J32" i="3"/>
  <c r="I32" i="3"/>
  <c r="H32" i="3"/>
  <c r="F32" i="3"/>
  <c r="D32" i="3"/>
  <c r="D35" i="3"/>
  <c r="D38" i="3"/>
  <c r="D40" i="3"/>
  <c r="D41" i="3"/>
  <c r="D53" i="3"/>
  <c r="D57" i="3"/>
  <c r="D78" i="3"/>
  <c r="D80" i="3"/>
  <c r="E40" i="3"/>
  <c r="F40" i="3"/>
  <c r="G40" i="3"/>
  <c r="H40" i="3"/>
  <c r="F20" i="5"/>
  <c r="G17" i="5"/>
  <c r="J34" i="7"/>
  <c r="I34" i="7"/>
  <c r="F37" i="7"/>
  <c r="I89" i="11"/>
  <c r="J89" i="11"/>
  <c r="K89" i="11"/>
  <c r="L89" i="11"/>
  <c r="M89" i="11"/>
  <c r="N89" i="11"/>
  <c r="O89" i="11"/>
  <c r="P89" i="11"/>
  <c r="Q89" i="11"/>
  <c r="R89" i="11"/>
  <c r="S89" i="11"/>
  <c r="T89" i="11"/>
  <c r="U89" i="11"/>
  <c r="V89" i="11"/>
  <c r="I99" i="11"/>
  <c r="J99" i="11"/>
  <c r="G103" i="11"/>
  <c r="E90" i="11"/>
  <c r="F90" i="11"/>
  <c r="I18" i="5"/>
  <c r="J6" i="5"/>
  <c r="E34" i="7"/>
  <c r="E35" i="7"/>
  <c r="E36" i="7"/>
  <c r="E38" i="7"/>
  <c r="E39" i="7"/>
  <c r="E56" i="7"/>
  <c r="E60" i="7"/>
  <c r="E82" i="7"/>
  <c r="F34" i="7"/>
  <c r="D34" i="7"/>
  <c r="G34" i="7"/>
  <c r="G58" i="11"/>
  <c r="G62" i="11"/>
  <c r="G84" i="11"/>
  <c r="H30" i="11"/>
  <c r="O20" i="2"/>
  <c r="F14" i="2"/>
  <c r="E20" i="2"/>
  <c r="G35" i="3"/>
  <c r="H38" i="3"/>
  <c r="J38" i="3"/>
  <c r="K37" i="3"/>
  <c r="L37" i="3"/>
  <c r="L40" i="3"/>
  <c r="L41" i="3"/>
  <c r="L53" i="3"/>
  <c r="O38" i="3"/>
  <c r="F17" i="3"/>
  <c r="K41" i="3"/>
  <c r="J41" i="3"/>
  <c r="I41" i="3"/>
  <c r="H41" i="3"/>
  <c r="F41" i="3"/>
  <c r="F30" i="5"/>
  <c r="D23" i="5"/>
  <c r="E41" i="5"/>
  <c r="P41" i="5"/>
  <c r="Q41" i="5"/>
  <c r="R41" i="5"/>
  <c r="S41" i="5"/>
  <c r="T41" i="5"/>
  <c r="U41" i="5"/>
  <c r="V41" i="5"/>
  <c r="H41" i="5"/>
  <c r="I41" i="5"/>
  <c r="D41" i="5"/>
  <c r="F41" i="5"/>
  <c r="G41" i="5"/>
  <c r="J41" i="5"/>
  <c r="N41" i="5"/>
  <c r="D39" i="5"/>
  <c r="F39" i="5"/>
  <c r="G39" i="5"/>
  <c r="J39" i="5"/>
  <c r="N39" i="5"/>
  <c r="K39" i="5"/>
  <c r="L39" i="5"/>
  <c r="M39" i="5"/>
  <c r="E39" i="5"/>
  <c r="E32" i="5"/>
  <c r="E35" i="5"/>
  <c r="E37" i="5"/>
  <c r="E56" i="5"/>
  <c r="E60" i="5"/>
  <c r="E82" i="5"/>
  <c r="P39" i="5"/>
  <c r="Q39" i="5"/>
  <c r="R39" i="5"/>
  <c r="S39" i="5"/>
  <c r="T39" i="5"/>
  <c r="U39" i="5"/>
  <c r="P37" i="5"/>
  <c r="H37" i="5"/>
  <c r="I37" i="5"/>
  <c r="D37" i="5"/>
  <c r="F37" i="5"/>
  <c r="G37" i="5"/>
  <c r="J37" i="5"/>
  <c r="N37" i="5"/>
  <c r="D35" i="5"/>
  <c r="F35" i="5"/>
  <c r="G35" i="5"/>
  <c r="J35" i="5"/>
  <c r="K35" i="5"/>
  <c r="L35" i="5"/>
  <c r="K32" i="5"/>
  <c r="K56" i="5"/>
  <c r="H32" i="5"/>
  <c r="I32" i="5"/>
  <c r="M32" i="5"/>
  <c r="D32" i="5"/>
  <c r="F32" i="5"/>
  <c r="G32" i="5"/>
  <c r="J32" i="5"/>
  <c r="J56" i="5"/>
  <c r="N37" i="7"/>
  <c r="G30" i="7"/>
  <c r="J13" i="11"/>
  <c r="K5" i="11"/>
  <c r="I94" i="13"/>
  <c r="I44" i="13"/>
  <c r="I61" i="13"/>
  <c r="F15" i="5"/>
  <c r="N18" i="2"/>
  <c r="M20" i="2"/>
  <c r="M16" i="2"/>
  <c r="I20" i="2"/>
  <c r="I16" i="2"/>
  <c r="F18" i="2"/>
  <c r="E16" i="2"/>
  <c r="L18" i="2"/>
  <c r="K18" i="2"/>
  <c r="J18" i="2"/>
  <c r="J14" i="2"/>
  <c r="G20" i="2"/>
  <c r="G16" i="2"/>
  <c r="E36" i="3"/>
  <c r="F37" i="3"/>
  <c r="G38" i="3"/>
  <c r="H37" i="3"/>
  <c r="I38" i="3"/>
  <c r="J37" i="3"/>
  <c r="K36" i="3"/>
  <c r="F12" i="3"/>
  <c r="O39" i="3"/>
  <c r="M41" i="3"/>
  <c r="M53" i="3"/>
  <c r="K40" i="3"/>
  <c r="J40" i="3"/>
  <c r="I40" i="3"/>
  <c r="H39" i="3"/>
  <c r="G32" i="3"/>
  <c r="F39" i="3"/>
  <c r="E32" i="3"/>
  <c r="E53" i="3"/>
  <c r="O41" i="5"/>
  <c r="I39" i="5"/>
  <c r="G13" i="5"/>
  <c r="G12" i="5"/>
  <c r="H5" i="5"/>
  <c r="X82" i="5"/>
  <c r="X93" i="5"/>
  <c r="J13" i="7"/>
  <c r="K5" i="7"/>
  <c r="J38" i="7"/>
  <c r="G20" i="7"/>
  <c r="G15" i="7"/>
  <c r="G23" i="7"/>
  <c r="H12" i="7"/>
  <c r="G39" i="7"/>
  <c r="F39" i="7"/>
  <c r="K39" i="7"/>
  <c r="L39" i="7"/>
  <c r="H36" i="7"/>
  <c r="I36" i="7"/>
  <c r="G36" i="7"/>
  <c r="J36" i="7"/>
  <c r="J58" i="11"/>
  <c r="H20" i="11"/>
  <c r="I18" i="11"/>
  <c r="I17" i="11"/>
  <c r="D58" i="11"/>
  <c r="D62" i="11"/>
  <c r="D84" i="11"/>
  <c r="D86" i="11"/>
  <c r="E88" i="7"/>
  <c r="F88" i="7"/>
  <c r="I97" i="7"/>
  <c r="J97" i="7"/>
  <c r="D41" i="7"/>
  <c r="H41" i="7"/>
  <c r="I41" i="7"/>
  <c r="F38" i="7"/>
  <c r="F35" i="7"/>
  <c r="F56" i="7"/>
  <c r="F60" i="7"/>
  <c r="F82" i="7"/>
  <c r="D38" i="7"/>
  <c r="D32" i="7"/>
  <c r="D36" i="7"/>
  <c r="D56" i="7"/>
  <c r="D60" i="7"/>
  <c r="D82" i="7"/>
  <c r="D84" i="7"/>
  <c r="H32" i="7"/>
  <c r="I32" i="7"/>
  <c r="M32" i="7"/>
  <c r="P58" i="11"/>
  <c r="Q32" i="11"/>
  <c r="O58" i="11"/>
  <c r="J6" i="11"/>
  <c r="E58" i="11"/>
  <c r="E62" i="11"/>
  <c r="E84" i="11"/>
  <c r="O40" i="5"/>
  <c r="M38" i="5"/>
  <c r="L38" i="5"/>
  <c r="I40" i="5"/>
  <c r="I36" i="5"/>
  <c r="N38" i="7"/>
  <c r="M41" i="7"/>
  <c r="J41" i="7"/>
  <c r="I18" i="7"/>
  <c r="I17" i="7"/>
  <c r="J6" i="7"/>
  <c r="G101" i="7"/>
  <c r="H40" i="7"/>
  <c r="I40" i="7"/>
  <c r="G40" i="7"/>
  <c r="J40" i="7"/>
  <c r="G35" i="7"/>
  <c r="K35" i="7"/>
  <c r="L35" i="7"/>
  <c r="Y82" i="7"/>
  <c r="Y100" i="7"/>
  <c r="Y101" i="7"/>
  <c r="I12" i="11"/>
  <c r="G15" i="11"/>
  <c r="H14" i="11"/>
  <c r="I14" i="11"/>
  <c r="J14" i="11"/>
  <c r="K14" i="11"/>
  <c r="L14" i="11"/>
  <c r="M14" i="11"/>
  <c r="N14" i="11"/>
  <c r="O14" i="11"/>
  <c r="P14" i="11"/>
  <c r="Q14" i="11"/>
  <c r="R14" i="11"/>
  <c r="S14" i="11"/>
  <c r="T14" i="11"/>
  <c r="U14" i="11"/>
  <c r="V14" i="11"/>
  <c r="E61" i="12"/>
  <c r="E65" i="12"/>
  <c r="E89" i="12"/>
  <c r="E91" i="12"/>
  <c r="F53" i="12"/>
  <c r="F61" i="12"/>
  <c r="F65" i="12"/>
  <c r="F89" i="12"/>
  <c r="F91" i="12"/>
  <c r="G53" i="12"/>
  <c r="G61" i="12"/>
  <c r="G65" i="12"/>
  <c r="G89" i="12"/>
  <c r="I96" i="7"/>
  <c r="J96" i="7"/>
  <c r="F105" i="12"/>
  <c r="G100" i="12"/>
  <c r="F107" i="12"/>
  <c r="U61" i="13"/>
  <c r="I51" i="12"/>
  <c r="J51" i="12"/>
  <c r="K51" i="12"/>
  <c r="L51" i="12"/>
  <c r="M51" i="12"/>
  <c r="N51" i="12"/>
  <c r="O51" i="12"/>
  <c r="P51" i="12"/>
  <c r="Q51" i="12"/>
  <c r="R51" i="12"/>
  <c r="S51" i="12"/>
  <c r="T51" i="12"/>
  <c r="U51" i="12"/>
  <c r="V51" i="12"/>
  <c r="V61" i="12"/>
  <c r="H61" i="12"/>
  <c r="H65" i="12"/>
  <c r="H89" i="12"/>
  <c r="V61" i="13"/>
  <c r="D56" i="14"/>
  <c r="D74" i="14"/>
  <c r="D76" i="14"/>
  <c r="E76" i="14"/>
  <c r="F76" i="14"/>
  <c r="G76" i="14"/>
  <c r="H76" i="14"/>
  <c r="I76" i="14"/>
  <c r="D24" i="14"/>
  <c r="F39" i="11"/>
  <c r="F35" i="11"/>
  <c r="F58" i="11"/>
  <c r="F62" i="11"/>
  <c r="F84" i="11"/>
  <c r="L18" i="12"/>
  <c r="M6" i="12"/>
  <c r="D65" i="13"/>
  <c r="D89" i="13"/>
  <c r="D91" i="13"/>
  <c r="E91" i="13"/>
  <c r="I17" i="12"/>
  <c r="I13" i="12"/>
  <c r="J5" i="12"/>
  <c r="F19" i="13"/>
  <c r="F53" i="13"/>
  <c r="F61" i="13"/>
  <c r="F65" i="13"/>
  <c r="F89" i="13"/>
  <c r="G53" i="13"/>
  <c r="G61" i="13"/>
  <c r="G65" i="13"/>
  <c r="G89" i="13"/>
  <c r="G100" i="13"/>
  <c r="G108" i="13"/>
  <c r="F106" i="13"/>
  <c r="F108" i="13"/>
  <c r="G19" i="13"/>
  <c r="H15" i="12"/>
  <c r="H23" i="12"/>
  <c r="H24" i="12"/>
  <c r="I12" i="12"/>
  <c r="I94" i="12"/>
  <c r="I44" i="12"/>
  <c r="I61" i="12"/>
  <c r="J17" i="13"/>
  <c r="J12" i="13"/>
  <c r="I15" i="13"/>
  <c r="I23" i="13"/>
  <c r="I22" i="13"/>
  <c r="G106" i="13"/>
  <c r="U52" i="14"/>
  <c r="N13" i="14"/>
  <c r="O5" i="14"/>
  <c r="M5" i="13"/>
  <c r="L6" i="13"/>
  <c r="L18" i="14"/>
  <c r="M6" i="14"/>
  <c r="K12" i="14"/>
  <c r="E79" i="14"/>
  <c r="F79" i="14"/>
  <c r="G79" i="14"/>
  <c r="H79" i="14"/>
  <c r="I79" i="14"/>
  <c r="J20" i="14"/>
  <c r="J23" i="14"/>
  <c r="K17" i="14"/>
  <c r="V40" i="15"/>
  <c r="L13" i="14"/>
  <c r="G85" i="14"/>
  <c r="J51" i="15"/>
  <c r="K51" i="15"/>
  <c r="L51" i="15"/>
  <c r="M51" i="15"/>
  <c r="N51" i="15"/>
  <c r="O51" i="15"/>
  <c r="P51" i="15"/>
  <c r="Q51" i="15"/>
  <c r="R51" i="15"/>
  <c r="S51" i="15"/>
  <c r="T51" i="15"/>
  <c r="U51" i="15"/>
  <c r="V51" i="15"/>
  <c r="F93" i="15"/>
  <c r="E95" i="15"/>
  <c r="N18" i="15"/>
  <c r="O6" i="15"/>
  <c r="L20" i="15"/>
  <c r="G87" i="15"/>
  <c r="F95" i="15"/>
  <c r="M18" i="15"/>
  <c r="M17" i="15"/>
  <c r="I18" i="16"/>
  <c r="H18" i="16"/>
  <c r="D58" i="16"/>
  <c r="D76" i="16"/>
  <c r="D78" i="16"/>
  <c r="E78" i="16"/>
  <c r="D24" i="16"/>
  <c r="G44" i="15"/>
  <c r="G53" i="15"/>
  <c r="G57" i="15"/>
  <c r="G75" i="15"/>
  <c r="H44" i="15"/>
  <c r="H53" i="15"/>
  <c r="H57" i="15"/>
  <c r="H75" i="15"/>
  <c r="D23" i="15"/>
  <c r="L12" i="15"/>
  <c r="K22" i="15"/>
  <c r="K15" i="15"/>
  <c r="K23" i="15"/>
  <c r="J53" i="15"/>
  <c r="F80" i="15"/>
  <c r="G80" i="15"/>
  <c r="H80" i="15"/>
  <c r="I80" i="15"/>
  <c r="J80" i="15"/>
  <c r="V54" i="16"/>
  <c r="U54" i="16"/>
  <c r="F54" i="16"/>
  <c r="F58" i="16"/>
  <c r="F76" i="16"/>
  <c r="M13" i="16"/>
  <c r="M12" i="16"/>
  <c r="N5" i="16"/>
  <c r="O6" i="16"/>
  <c r="N18" i="16"/>
  <c r="J23" i="15"/>
  <c r="H19" i="16"/>
  <c r="E81" i="16"/>
  <c r="F81" i="16"/>
  <c r="G81" i="16"/>
  <c r="H81" i="16"/>
  <c r="I81" i="16"/>
  <c r="J81" i="16"/>
  <c r="J92" i="16"/>
  <c r="J94" i="16"/>
  <c r="J99" i="16"/>
  <c r="J96" i="16"/>
  <c r="J54" i="16"/>
  <c r="J58" i="16"/>
  <c r="J76" i="16"/>
  <c r="J24" i="16"/>
  <c r="M17" i="16"/>
  <c r="I54" i="16"/>
  <c r="I58" i="16"/>
  <c r="I76" i="16"/>
  <c r="G44" i="16"/>
  <c r="G54" i="16"/>
  <c r="G58" i="16"/>
  <c r="G76" i="16"/>
  <c r="K24" i="16"/>
  <c r="K96" i="16"/>
  <c r="K18" i="16"/>
  <c r="I20" i="7"/>
  <c r="L24" i="16"/>
  <c r="G91" i="12"/>
  <c r="H91" i="12"/>
  <c r="E84" i="7"/>
  <c r="F84" i="7"/>
  <c r="H13" i="5"/>
  <c r="H12" i="5"/>
  <c r="G15" i="5"/>
  <c r="G22" i="5"/>
  <c r="M20" i="15"/>
  <c r="N17" i="15"/>
  <c r="M20" i="16"/>
  <c r="N17" i="16"/>
  <c r="L17" i="14"/>
  <c r="K20" i="14"/>
  <c r="K5" i="12"/>
  <c r="J13" i="12"/>
  <c r="M18" i="12"/>
  <c r="N6" i="12"/>
  <c r="L56" i="5"/>
  <c r="F20" i="3"/>
  <c r="K35" i="16"/>
  <c r="K54" i="16"/>
  <c r="K58" i="16"/>
  <c r="K76" i="16"/>
  <c r="K81" i="16"/>
  <c r="O18" i="16"/>
  <c r="P6" i="16"/>
  <c r="P18" i="16"/>
  <c r="O5" i="16"/>
  <c r="N13" i="16"/>
  <c r="J35" i="14"/>
  <c r="J52" i="14"/>
  <c r="J56" i="14"/>
  <c r="J79" i="14"/>
  <c r="J22" i="13"/>
  <c r="J15" i="13"/>
  <c r="K12" i="13"/>
  <c r="H44" i="16"/>
  <c r="H54" i="16"/>
  <c r="H58" i="16"/>
  <c r="H76" i="16"/>
  <c r="J91" i="15"/>
  <c r="J93" i="15"/>
  <c r="J98" i="15"/>
  <c r="J57" i="15"/>
  <c r="J95" i="15"/>
  <c r="J24" i="15"/>
  <c r="N12" i="16"/>
  <c r="M15" i="16"/>
  <c r="M23" i="16"/>
  <c r="M22" i="16"/>
  <c r="G91" i="14"/>
  <c r="G93" i="14"/>
  <c r="U53" i="15"/>
  <c r="K15" i="14"/>
  <c r="K23" i="14"/>
  <c r="L12" i="14"/>
  <c r="K22" i="14"/>
  <c r="N5" i="13"/>
  <c r="M13" i="13"/>
  <c r="J20" i="13"/>
  <c r="K17" i="13"/>
  <c r="F91" i="13"/>
  <c r="G91" i="13"/>
  <c r="I22" i="11"/>
  <c r="I15" i="11"/>
  <c r="J12" i="11"/>
  <c r="M56" i="7"/>
  <c r="N32" i="7"/>
  <c r="F15" i="3"/>
  <c r="G12" i="3"/>
  <c r="F22" i="3"/>
  <c r="H30" i="7"/>
  <c r="G56" i="7"/>
  <c r="G30" i="5"/>
  <c r="F56" i="5"/>
  <c r="I30" i="11"/>
  <c r="I58" i="11"/>
  <c r="H58" i="11"/>
  <c r="H17" i="5"/>
  <c r="G20" i="5"/>
  <c r="K53" i="3"/>
  <c r="E57" i="3"/>
  <c r="E78" i="3"/>
  <c r="E80" i="3"/>
  <c r="E24" i="3"/>
  <c r="I13" i="3"/>
  <c r="J5" i="3"/>
  <c r="H6" i="2"/>
  <c r="G12" i="2"/>
  <c r="G30" i="2"/>
  <c r="G34" i="2"/>
  <c r="G50" i="2"/>
  <c r="M12" i="15"/>
  <c r="L15" i="15"/>
  <c r="L23" i="15"/>
  <c r="L22" i="15"/>
  <c r="N6" i="14"/>
  <c r="M18" i="14"/>
  <c r="H6" i="3"/>
  <c r="G18" i="3"/>
  <c r="G17" i="3"/>
  <c r="F12" i="2"/>
  <c r="F30" i="2"/>
  <c r="F34" i="2"/>
  <c r="F50" i="2"/>
  <c r="K12" i="2"/>
  <c r="K30" i="2"/>
  <c r="L12" i="2"/>
  <c r="L30" i="2"/>
  <c r="M12" i="2"/>
  <c r="M30" i="2"/>
  <c r="D12" i="2"/>
  <c r="D30" i="2"/>
  <c r="D34" i="2"/>
  <c r="D50" i="2"/>
  <c r="D52" i="2"/>
  <c r="O12" i="2"/>
  <c r="O30" i="2"/>
  <c r="I12" i="2"/>
  <c r="I30" i="2"/>
  <c r="E12" i="2"/>
  <c r="E30" i="2"/>
  <c r="E34" i="2"/>
  <c r="E50" i="2"/>
  <c r="N12" i="2"/>
  <c r="N30" i="2"/>
  <c r="H12" i="2"/>
  <c r="H30" i="2"/>
  <c r="J12" i="2"/>
  <c r="J30" i="2"/>
  <c r="P12" i="2"/>
  <c r="G30" i="3"/>
  <c r="F53" i="3"/>
  <c r="D57" i="15"/>
  <c r="D75" i="15"/>
  <c r="D77" i="15"/>
  <c r="E77" i="15"/>
  <c r="F77" i="15"/>
  <c r="G77" i="15"/>
  <c r="H77" i="15"/>
  <c r="I77" i="15"/>
  <c r="D24" i="15"/>
  <c r="F78" i="16"/>
  <c r="G78" i="16"/>
  <c r="H78" i="16"/>
  <c r="I78" i="16"/>
  <c r="J78" i="16"/>
  <c r="K78" i="16"/>
  <c r="O18" i="15"/>
  <c r="P6" i="15"/>
  <c r="P18" i="15"/>
  <c r="J24" i="14"/>
  <c r="I65" i="13"/>
  <c r="I89" i="13"/>
  <c r="I24" i="13"/>
  <c r="J94" i="12"/>
  <c r="J44" i="12"/>
  <c r="J61" i="12"/>
  <c r="H53" i="13"/>
  <c r="H61" i="13"/>
  <c r="H65" i="13"/>
  <c r="H89" i="13"/>
  <c r="U61" i="12"/>
  <c r="L56" i="7"/>
  <c r="K6" i="7"/>
  <c r="J18" i="7"/>
  <c r="J17" i="7"/>
  <c r="Q58" i="11"/>
  <c r="R32" i="11"/>
  <c r="I20" i="11"/>
  <c r="I12" i="7"/>
  <c r="H22" i="7"/>
  <c r="H15" i="7"/>
  <c r="H23" i="7"/>
  <c r="I5" i="5"/>
  <c r="F23" i="5"/>
  <c r="K13" i="11"/>
  <c r="L5" i="11"/>
  <c r="D56" i="5"/>
  <c r="J18" i="5"/>
  <c r="K6" i="5"/>
  <c r="K35" i="15"/>
  <c r="K53" i="15"/>
  <c r="K57" i="15"/>
  <c r="K75" i="15"/>
  <c r="K80" i="15"/>
  <c r="P5" i="14"/>
  <c r="P13" i="14"/>
  <c r="O13" i="14"/>
  <c r="E86" i="11"/>
  <c r="F86" i="11"/>
  <c r="G86" i="11"/>
  <c r="J94" i="13"/>
  <c r="J44" i="13"/>
  <c r="J61" i="13"/>
  <c r="K24" i="15"/>
  <c r="G95" i="15"/>
  <c r="G93" i="15"/>
  <c r="V53" i="15"/>
  <c r="L18" i="13"/>
  <c r="M6" i="13"/>
  <c r="J12" i="12"/>
  <c r="I15" i="12"/>
  <c r="I20" i="12"/>
  <c r="I23" i="12"/>
  <c r="I22" i="12"/>
  <c r="J17" i="12"/>
  <c r="G107" i="12"/>
  <c r="G105" i="12"/>
  <c r="H15" i="11"/>
  <c r="H23" i="11"/>
  <c r="K56" i="7"/>
  <c r="J18" i="11"/>
  <c r="J17" i="11"/>
  <c r="K6" i="11"/>
  <c r="G60" i="7"/>
  <c r="G82" i="7"/>
  <c r="G24" i="7"/>
  <c r="L5" i="7"/>
  <c r="K13" i="7"/>
  <c r="N32" i="5"/>
  <c r="M56" i="5"/>
  <c r="D60" i="5"/>
  <c r="D82" i="5"/>
  <c r="D84" i="5"/>
  <c r="E84" i="5"/>
  <c r="D24" i="5"/>
  <c r="J56" i="7"/>
  <c r="J53" i="3"/>
  <c r="N53" i="3"/>
  <c r="O32" i="3"/>
  <c r="U50" i="2"/>
  <c r="U56" i="2"/>
  <c r="U57" i="2"/>
  <c r="G20" i="3"/>
  <c r="H18" i="3"/>
  <c r="H17" i="3"/>
  <c r="J20" i="11"/>
  <c r="J74" i="14"/>
  <c r="J76" i="14"/>
  <c r="J20" i="7"/>
  <c r="L13" i="7"/>
  <c r="M5" i="7"/>
  <c r="I30" i="7"/>
  <c r="I56" i="7"/>
  <c r="H56" i="7"/>
  <c r="H60" i="7"/>
  <c r="H82" i="7"/>
  <c r="O32" i="7"/>
  <c r="N56" i="7"/>
  <c r="I13" i="5"/>
  <c r="I12" i="5"/>
  <c r="H15" i="5"/>
  <c r="H20" i="5"/>
  <c r="H23" i="5"/>
  <c r="H22" i="5"/>
  <c r="O32" i="5"/>
  <c r="N56" i="5"/>
  <c r="H24" i="11"/>
  <c r="H62" i="11"/>
  <c r="H84" i="11"/>
  <c r="H86" i="11"/>
  <c r="M18" i="13"/>
  <c r="N6" i="13"/>
  <c r="P32" i="3"/>
  <c r="O53" i="3"/>
  <c r="K18" i="11"/>
  <c r="K17" i="11"/>
  <c r="L6" i="11"/>
  <c r="K94" i="13"/>
  <c r="K44" i="13"/>
  <c r="K61" i="13"/>
  <c r="L35" i="15"/>
  <c r="L53" i="15"/>
  <c r="J12" i="7"/>
  <c r="I22" i="7"/>
  <c r="I15" i="7"/>
  <c r="I23" i="7"/>
  <c r="K94" i="12"/>
  <c r="K44" i="12"/>
  <c r="K61" i="12"/>
  <c r="P30" i="2"/>
  <c r="Q12" i="2"/>
  <c r="E52" i="2"/>
  <c r="F52" i="2"/>
  <c r="G52" i="2"/>
  <c r="M22" i="15"/>
  <c r="M15" i="15"/>
  <c r="M23" i="15"/>
  <c r="N12" i="15"/>
  <c r="F23" i="3"/>
  <c r="I23" i="11"/>
  <c r="M12" i="14"/>
  <c r="L15" i="14"/>
  <c r="L22" i="14"/>
  <c r="K79" i="14"/>
  <c r="K35" i="14"/>
  <c r="K52" i="14"/>
  <c r="N18" i="12"/>
  <c r="O6" i="12"/>
  <c r="N20" i="15"/>
  <c r="O17" i="15"/>
  <c r="G23" i="5"/>
  <c r="I65" i="12"/>
  <c r="I89" i="12"/>
  <c r="I24" i="12"/>
  <c r="J5" i="5"/>
  <c r="K15" i="13"/>
  <c r="K20" i="13"/>
  <c r="K23" i="13"/>
  <c r="K22" i="13"/>
  <c r="L12" i="13"/>
  <c r="J20" i="12"/>
  <c r="K17" i="12"/>
  <c r="J15" i="12"/>
  <c r="J23" i="12"/>
  <c r="J22" i="12"/>
  <c r="K18" i="5"/>
  <c r="L6" i="5"/>
  <c r="H24" i="7"/>
  <c r="L6" i="7"/>
  <c r="K18" i="7"/>
  <c r="K17" i="7"/>
  <c r="I6" i="3"/>
  <c r="H34" i="2"/>
  <c r="H50" i="2"/>
  <c r="I6" i="2"/>
  <c r="H91" i="13"/>
  <c r="I91" i="13"/>
  <c r="N13" i="13"/>
  <c r="O5" i="13"/>
  <c r="M24" i="16"/>
  <c r="L70" i="15"/>
  <c r="L79" i="15"/>
  <c r="L80" i="15"/>
  <c r="J75" i="15"/>
  <c r="J77" i="15"/>
  <c r="K77" i="15"/>
  <c r="J23" i="13"/>
  <c r="L35" i="16"/>
  <c r="L54" i="16"/>
  <c r="L81" i="16"/>
  <c r="O17" i="16"/>
  <c r="N20" i="16"/>
  <c r="G84" i="7"/>
  <c r="L13" i="11"/>
  <c r="M5" i="11"/>
  <c r="O6" i="14"/>
  <c r="N18" i="14"/>
  <c r="K24" i="14"/>
  <c r="K56" i="14"/>
  <c r="K74" i="14"/>
  <c r="M17" i="14"/>
  <c r="L20" i="14"/>
  <c r="V99" i="5"/>
  <c r="Y99" i="5"/>
  <c r="F60" i="5"/>
  <c r="F82" i="5"/>
  <c r="F84" i="5"/>
  <c r="F24" i="5"/>
  <c r="V96" i="5"/>
  <c r="X96" i="5"/>
  <c r="R58" i="11"/>
  <c r="S32" i="11"/>
  <c r="G53" i="3"/>
  <c r="H30" i="3"/>
  <c r="L57" i="15"/>
  <c r="L24" i="15"/>
  <c r="J13" i="3"/>
  <c r="K5" i="3"/>
  <c r="I17" i="5"/>
  <c r="H30" i="5"/>
  <c r="G56" i="5"/>
  <c r="G15" i="3"/>
  <c r="G23" i="3"/>
  <c r="H12" i="3"/>
  <c r="G22" i="3"/>
  <c r="J15" i="11"/>
  <c r="K12" i="11"/>
  <c r="J22" i="11"/>
  <c r="L17" i="13"/>
  <c r="N22" i="16"/>
  <c r="N15" i="16"/>
  <c r="P5" i="16"/>
  <c r="P13" i="16"/>
  <c r="O13" i="16"/>
  <c r="O12" i="16"/>
  <c r="K13" i="12"/>
  <c r="K12" i="12"/>
  <c r="L5" i="12"/>
  <c r="I91" i="12"/>
  <c r="K15" i="12"/>
  <c r="K22" i="12"/>
  <c r="M80" i="15"/>
  <c r="M35" i="15"/>
  <c r="M53" i="15"/>
  <c r="K20" i="11"/>
  <c r="O15" i="16"/>
  <c r="O22" i="16"/>
  <c r="P12" i="16"/>
  <c r="K20" i="7"/>
  <c r="L12" i="11"/>
  <c r="K22" i="11"/>
  <c r="K15" i="11"/>
  <c r="I20" i="5"/>
  <c r="J17" i="5"/>
  <c r="K12" i="7"/>
  <c r="J22" i="7"/>
  <c r="J15" i="7"/>
  <c r="J23" i="7"/>
  <c r="Q32" i="3"/>
  <c r="P53" i="3"/>
  <c r="J23" i="11"/>
  <c r="K13" i="3"/>
  <c r="L5" i="3"/>
  <c r="O13" i="13"/>
  <c r="P5" i="13"/>
  <c r="P13" i="13"/>
  <c r="K20" i="12"/>
  <c r="L17" i="12"/>
  <c r="I12" i="3"/>
  <c r="H22" i="3"/>
  <c r="H15" i="3"/>
  <c r="M20" i="14"/>
  <c r="N17" i="14"/>
  <c r="O18" i="14"/>
  <c r="P6" i="14"/>
  <c r="P18" i="14"/>
  <c r="H84" i="7"/>
  <c r="M12" i="13"/>
  <c r="L22" i="13"/>
  <c r="L15" i="13"/>
  <c r="J13" i="5"/>
  <c r="K5" i="5"/>
  <c r="O20" i="15"/>
  <c r="P17" i="15"/>
  <c r="N12" i="14"/>
  <c r="M15" i="14"/>
  <c r="M23" i="14"/>
  <c r="M22" i="14"/>
  <c r="M24" i="15"/>
  <c r="M57" i="15"/>
  <c r="M75" i="15"/>
  <c r="P32" i="7"/>
  <c r="O56" i="7"/>
  <c r="J24" i="13"/>
  <c r="J65" i="13"/>
  <c r="J89" i="13"/>
  <c r="J91" i="13"/>
  <c r="K65" i="13"/>
  <c r="K89" i="13"/>
  <c r="K91" i="13"/>
  <c r="J6" i="2"/>
  <c r="I34" i="2"/>
  <c r="I50" i="2"/>
  <c r="M6" i="5"/>
  <c r="L18" i="5"/>
  <c r="I62" i="11"/>
  <c r="I84" i="11"/>
  <c r="I86" i="11"/>
  <c r="I24" i="11"/>
  <c r="L94" i="13"/>
  <c r="L44" i="13"/>
  <c r="L61" i="13"/>
  <c r="M13" i="7"/>
  <c r="N5" i="7"/>
  <c r="H53" i="3"/>
  <c r="I30" i="3"/>
  <c r="I53" i="3"/>
  <c r="P17" i="16"/>
  <c r="O20" i="16"/>
  <c r="L18" i="7"/>
  <c r="L17" i="7"/>
  <c r="M6" i="7"/>
  <c r="O18" i="12"/>
  <c r="P6" i="12"/>
  <c r="P18" i="12"/>
  <c r="F57" i="3"/>
  <c r="F78" i="3"/>
  <c r="F80" i="3"/>
  <c r="G57" i="3"/>
  <c r="G78" i="3"/>
  <c r="G80" i="3"/>
  <c r="F24" i="3"/>
  <c r="V95" i="3"/>
  <c r="Y95" i="3"/>
  <c r="V92" i="3"/>
  <c r="X92" i="3"/>
  <c r="H52" i="2"/>
  <c r="I52" i="2"/>
  <c r="L44" i="12"/>
  <c r="L61" i="12"/>
  <c r="M6" i="11"/>
  <c r="L18" i="11"/>
  <c r="L17" i="11"/>
  <c r="N18" i="13"/>
  <c r="O6" i="13"/>
  <c r="I15" i="5"/>
  <c r="J12" i="5"/>
  <c r="I22" i="5"/>
  <c r="K76" i="14"/>
  <c r="H20" i="3"/>
  <c r="G24" i="3"/>
  <c r="L75" i="15"/>
  <c r="L77" i="15"/>
  <c r="M77" i="15"/>
  <c r="S58" i="11"/>
  <c r="T32" i="11"/>
  <c r="M13" i="11"/>
  <c r="N5" i="11"/>
  <c r="J65" i="12"/>
  <c r="J24" i="12"/>
  <c r="L35" i="14"/>
  <c r="L52" i="14"/>
  <c r="H24" i="5"/>
  <c r="L20" i="13"/>
  <c r="M17" i="13"/>
  <c r="K24" i="13"/>
  <c r="M5" i="12"/>
  <c r="L13" i="12"/>
  <c r="L12" i="12"/>
  <c r="N23" i="16"/>
  <c r="I30" i="5"/>
  <c r="I56" i="5"/>
  <c r="H56" i="5"/>
  <c r="H60" i="5"/>
  <c r="H82" i="5"/>
  <c r="M81" i="16"/>
  <c r="M35" i="16"/>
  <c r="J6" i="3"/>
  <c r="I18" i="3"/>
  <c r="I17" i="3"/>
  <c r="G24" i="5"/>
  <c r="G60" i="5"/>
  <c r="G82" i="5"/>
  <c r="G84" i="5"/>
  <c r="H84" i="5"/>
  <c r="L23" i="14"/>
  <c r="N15" i="15"/>
  <c r="N23" i="15"/>
  <c r="N22" i="15"/>
  <c r="O12" i="15"/>
  <c r="Q30" i="2"/>
  <c r="R12" i="2"/>
  <c r="R30" i="2"/>
  <c r="I60" i="7"/>
  <c r="I82" i="7"/>
  <c r="I24" i="7"/>
  <c r="P32" i="5"/>
  <c r="O56" i="5"/>
  <c r="L69" i="14"/>
  <c r="L78" i="14"/>
  <c r="L79" i="14"/>
  <c r="I20" i="3"/>
  <c r="J18" i="3"/>
  <c r="J17" i="3"/>
  <c r="M18" i="7"/>
  <c r="M17" i="7"/>
  <c r="L20" i="7"/>
  <c r="M79" i="14"/>
  <c r="M35" i="14"/>
  <c r="M52" i="14"/>
  <c r="M13" i="12"/>
  <c r="M12" i="12"/>
  <c r="L15" i="12"/>
  <c r="L22" i="12"/>
  <c r="L20" i="11"/>
  <c r="N17" i="13"/>
  <c r="M20" i="13"/>
  <c r="N13" i="11"/>
  <c r="O5" i="11"/>
  <c r="P56" i="5"/>
  <c r="Q32" i="5"/>
  <c r="L56" i="14"/>
  <c r="L24" i="14"/>
  <c r="K6" i="3"/>
  <c r="O22" i="15"/>
  <c r="O15" i="15"/>
  <c r="O23" i="15"/>
  <c r="P12" i="15"/>
  <c r="N24" i="16"/>
  <c r="J89" i="12"/>
  <c r="J91" i="12"/>
  <c r="N6" i="7"/>
  <c r="J34" i="2"/>
  <c r="J50" i="2"/>
  <c r="J52" i="2"/>
  <c r="K6" i="2"/>
  <c r="P56" i="7"/>
  <c r="Q32" i="7"/>
  <c r="M24" i="14"/>
  <c r="M56" i="14"/>
  <c r="M74" i="14"/>
  <c r="K13" i="5"/>
  <c r="L5" i="5"/>
  <c r="N12" i="13"/>
  <c r="M15" i="13"/>
  <c r="M23" i="13"/>
  <c r="M22" i="13"/>
  <c r="I84" i="7"/>
  <c r="J60" i="7"/>
  <c r="J82" i="7"/>
  <c r="J84" i="7"/>
  <c r="L20" i="12"/>
  <c r="M17" i="12"/>
  <c r="L13" i="3"/>
  <c r="M5" i="3"/>
  <c r="R32" i="3"/>
  <c r="Q53" i="3"/>
  <c r="J20" i="5"/>
  <c r="K17" i="5"/>
  <c r="M12" i="11"/>
  <c r="L15" i="11"/>
  <c r="L22" i="11"/>
  <c r="N35" i="16"/>
  <c r="N54" i="16"/>
  <c r="N58" i="16"/>
  <c r="J15" i="5"/>
  <c r="J23" i="5"/>
  <c r="K12" i="5"/>
  <c r="J22" i="5"/>
  <c r="O12" i="14"/>
  <c r="N15" i="14"/>
  <c r="N20" i="14"/>
  <c r="N23" i="14"/>
  <c r="N22" i="14"/>
  <c r="H23" i="3"/>
  <c r="P15" i="16"/>
  <c r="Q12" i="16"/>
  <c r="P22" i="16"/>
  <c r="N35" i="15"/>
  <c r="N53" i="15"/>
  <c r="N57" i="15"/>
  <c r="N24" i="15"/>
  <c r="N5" i="12"/>
  <c r="N70" i="15"/>
  <c r="N79" i="15"/>
  <c r="N80" i="15"/>
  <c r="I23" i="5"/>
  <c r="N6" i="11"/>
  <c r="M18" i="11"/>
  <c r="M17" i="11"/>
  <c r="M94" i="13"/>
  <c r="M44" i="13"/>
  <c r="M61" i="13"/>
  <c r="N6" i="5"/>
  <c r="M18" i="5"/>
  <c r="P20" i="15"/>
  <c r="Q17" i="15"/>
  <c r="L23" i="13"/>
  <c r="N71" i="16"/>
  <c r="N80" i="16"/>
  <c r="N81" i="16"/>
  <c r="J24" i="11"/>
  <c r="J62" i="11"/>
  <c r="J84" i="11"/>
  <c r="J86" i="11"/>
  <c r="K23" i="11"/>
  <c r="K23" i="12"/>
  <c r="J24" i="7"/>
  <c r="T58" i="11"/>
  <c r="U32" i="11"/>
  <c r="O18" i="13"/>
  <c r="P6" i="13"/>
  <c r="P18" i="13"/>
  <c r="Q17" i="16"/>
  <c r="P20" i="16"/>
  <c r="N13" i="7"/>
  <c r="O5" i="7"/>
  <c r="O17" i="14"/>
  <c r="I15" i="3"/>
  <c r="I23" i="3"/>
  <c r="J12" i="3"/>
  <c r="I22" i="3"/>
  <c r="L12" i="7"/>
  <c r="K15" i="7"/>
  <c r="K23" i="7"/>
  <c r="K22" i="7"/>
  <c r="O23" i="16"/>
  <c r="N76" i="16"/>
  <c r="K34" i="2"/>
  <c r="K50" i="2"/>
  <c r="K52" i="2"/>
  <c r="O80" i="15"/>
  <c r="O35" i="15"/>
  <c r="O53" i="15"/>
  <c r="O35" i="16"/>
  <c r="O54" i="16"/>
  <c r="O58" i="16"/>
  <c r="O81" i="16"/>
  <c r="M20" i="11"/>
  <c r="J22" i="3"/>
  <c r="K12" i="3"/>
  <c r="J15" i="3"/>
  <c r="V32" i="11"/>
  <c r="V58" i="11"/>
  <c r="U58" i="11"/>
  <c r="K20" i="5"/>
  <c r="L17" i="5"/>
  <c r="L13" i="5"/>
  <c r="M5" i="5"/>
  <c r="O6" i="7"/>
  <c r="N18" i="7"/>
  <c r="M15" i="12"/>
  <c r="N13" i="12"/>
  <c r="N12" i="12"/>
  <c r="M22" i="12"/>
  <c r="O24" i="16"/>
  <c r="Q20" i="15"/>
  <c r="R17" i="15"/>
  <c r="I60" i="5"/>
  <c r="I82" i="5"/>
  <c r="I84" i="5"/>
  <c r="I24" i="5"/>
  <c r="P23" i="16"/>
  <c r="O22" i="14"/>
  <c r="P12" i="14"/>
  <c r="O15" i="14"/>
  <c r="N12" i="11"/>
  <c r="M22" i="11"/>
  <c r="M15" i="11"/>
  <c r="M23" i="11"/>
  <c r="R53" i="3"/>
  <c r="S32" i="3"/>
  <c r="N22" i="13"/>
  <c r="O12" i="13"/>
  <c r="N15" i="13"/>
  <c r="O24" i="15"/>
  <c r="O57" i="15"/>
  <c r="O75" i="15"/>
  <c r="N20" i="13"/>
  <c r="O17" i="13"/>
  <c r="L23" i="12"/>
  <c r="Q20" i="16"/>
  <c r="R17" i="16"/>
  <c r="P70" i="15"/>
  <c r="P79" i="15"/>
  <c r="N75" i="15"/>
  <c r="N77" i="15"/>
  <c r="O77" i="15"/>
  <c r="M13" i="3"/>
  <c r="N5" i="3"/>
  <c r="Q56" i="7"/>
  <c r="R32" i="7"/>
  <c r="N69" i="14"/>
  <c r="N78" i="14"/>
  <c r="L74" i="14"/>
  <c r="L76" i="14"/>
  <c r="M76" i="14"/>
  <c r="M20" i="7"/>
  <c r="N17" i="7"/>
  <c r="K24" i="7"/>
  <c r="K60" i="7"/>
  <c r="K82" i="7"/>
  <c r="I57" i="3"/>
  <c r="I78" i="3"/>
  <c r="I24" i="3"/>
  <c r="O13" i="7"/>
  <c r="P5" i="7"/>
  <c r="P13" i="7"/>
  <c r="K65" i="12"/>
  <c r="K24" i="12"/>
  <c r="O5" i="12"/>
  <c r="L12" i="5"/>
  <c r="K15" i="5"/>
  <c r="K23" i="5"/>
  <c r="K22" i="5"/>
  <c r="L6" i="3"/>
  <c r="K18" i="3"/>
  <c r="R32" i="5"/>
  <c r="Q56" i="5"/>
  <c r="N78" i="16"/>
  <c r="N44" i="13"/>
  <c r="N61" i="13"/>
  <c r="N94" i="13"/>
  <c r="H57" i="3"/>
  <c r="H78" i="3"/>
  <c r="H80" i="3"/>
  <c r="H24" i="3"/>
  <c r="K84" i="7"/>
  <c r="P5" i="11"/>
  <c r="P13" i="11"/>
  <c r="O13" i="11"/>
  <c r="K17" i="3"/>
  <c r="J20" i="3"/>
  <c r="M12" i="7"/>
  <c r="L15" i="7"/>
  <c r="L23" i="7"/>
  <c r="L22" i="7"/>
  <c r="P17" i="14"/>
  <c r="O20" i="14"/>
  <c r="K62" i="11"/>
  <c r="K84" i="11"/>
  <c r="K86" i="11"/>
  <c r="K24" i="11"/>
  <c r="L65" i="13"/>
  <c r="L89" i="13"/>
  <c r="L91" i="13"/>
  <c r="L24" i="13"/>
  <c r="N18" i="5"/>
  <c r="O6" i="5"/>
  <c r="N18" i="11"/>
  <c r="N17" i="11"/>
  <c r="O6" i="11"/>
  <c r="R12" i="16"/>
  <c r="Q15" i="16"/>
  <c r="Q23" i="16"/>
  <c r="Q22" i="16"/>
  <c r="N24" i="14"/>
  <c r="J24" i="5"/>
  <c r="J60" i="5"/>
  <c r="J82" i="5"/>
  <c r="L23" i="11"/>
  <c r="N17" i="12"/>
  <c r="M20" i="12"/>
  <c r="M65" i="13"/>
  <c r="M89" i="13"/>
  <c r="M24" i="13"/>
  <c r="L6" i="2"/>
  <c r="P22" i="15"/>
  <c r="P15" i="15"/>
  <c r="P23" i="15"/>
  <c r="Q12" i="15"/>
  <c r="N79" i="14"/>
  <c r="N35" i="14"/>
  <c r="N52" i="14"/>
  <c r="N56" i="14"/>
  <c r="N20" i="11"/>
  <c r="N74" i="14"/>
  <c r="O76" i="16"/>
  <c r="L62" i="11"/>
  <c r="L84" i="11"/>
  <c r="L86" i="11"/>
  <c r="M62" i="11"/>
  <c r="M84" i="11"/>
  <c r="M86" i="11"/>
  <c r="L24" i="11"/>
  <c r="O18" i="11"/>
  <c r="O17" i="11"/>
  <c r="P6" i="11"/>
  <c r="P18" i="11"/>
  <c r="M15" i="7"/>
  <c r="M23" i="7"/>
  <c r="N12" i="7"/>
  <c r="M22" i="7"/>
  <c r="O94" i="13"/>
  <c r="O44" i="13"/>
  <c r="O61" i="13"/>
  <c r="S32" i="5"/>
  <c r="R56" i="5"/>
  <c r="N20" i="7"/>
  <c r="S32" i="7"/>
  <c r="R56" i="7"/>
  <c r="L65" i="12"/>
  <c r="L24" i="12"/>
  <c r="S53" i="3"/>
  <c r="T32" i="3"/>
  <c r="P35" i="15"/>
  <c r="P53" i="15"/>
  <c r="P57" i="15"/>
  <c r="P75" i="15"/>
  <c r="P77" i="15"/>
  <c r="P24" i="15"/>
  <c r="N20" i="12"/>
  <c r="O17" i="12"/>
  <c r="S12" i="16"/>
  <c r="R22" i="16"/>
  <c r="R15" i="16"/>
  <c r="L60" i="7"/>
  <c r="L82" i="7"/>
  <c r="L24" i="7"/>
  <c r="I80" i="3"/>
  <c r="R20" i="15"/>
  <c r="S17" i="15"/>
  <c r="O18" i="7"/>
  <c r="O17" i="7"/>
  <c r="P6" i="7"/>
  <c r="P18" i="7"/>
  <c r="K15" i="3"/>
  <c r="L12" i="3"/>
  <c r="K22" i="3"/>
  <c r="K60" i="5"/>
  <c r="K82" i="5"/>
  <c r="K24" i="5"/>
  <c r="P24" i="16"/>
  <c r="M13" i="5"/>
  <c r="N5" i="5"/>
  <c r="O79" i="14"/>
  <c r="O35" i="14"/>
  <c r="O52" i="14"/>
  <c r="M91" i="13"/>
  <c r="P20" i="14"/>
  <c r="Q17" i="14"/>
  <c r="L84" i="7"/>
  <c r="M12" i="5"/>
  <c r="L15" i="5"/>
  <c r="L22" i="5"/>
  <c r="K89" i="12"/>
  <c r="K91" i="12"/>
  <c r="L78" i="12"/>
  <c r="L93" i="12"/>
  <c r="L94" i="12"/>
  <c r="P17" i="13"/>
  <c r="O20" i="13"/>
  <c r="N23" i="13"/>
  <c r="O23" i="14"/>
  <c r="M23" i="12"/>
  <c r="O12" i="11"/>
  <c r="N22" i="11"/>
  <c r="N15" i="11"/>
  <c r="N23" i="11"/>
  <c r="N15" i="12"/>
  <c r="N23" i="12"/>
  <c r="N22" i="12"/>
  <c r="Q22" i="15"/>
  <c r="Q15" i="15"/>
  <c r="Q23" i="15"/>
  <c r="R12" i="15"/>
  <c r="L34" i="2"/>
  <c r="L50" i="2"/>
  <c r="L52" i="2"/>
  <c r="M6" i="2"/>
  <c r="Q24" i="16"/>
  <c r="O18" i="5"/>
  <c r="P6" i="5"/>
  <c r="P18" i="5"/>
  <c r="K20" i="3"/>
  <c r="L18" i="3"/>
  <c r="L17" i="3"/>
  <c r="O78" i="16"/>
  <c r="M6" i="3"/>
  <c r="P5" i="12"/>
  <c r="P13" i="12"/>
  <c r="O13" i="12"/>
  <c r="O12" i="12"/>
  <c r="N76" i="14"/>
  <c r="N13" i="3"/>
  <c r="O5" i="3"/>
  <c r="S17" i="16"/>
  <c r="R20" i="16"/>
  <c r="P12" i="13"/>
  <c r="O22" i="13"/>
  <c r="O15" i="13"/>
  <c r="O23" i="13"/>
  <c r="M24" i="11"/>
  <c r="P15" i="14"/>
  <c r="Q12" i="14"/>
  <c r="P22" i="14"/>
  <c r="J84" i="5"/>
  <c r="K84" i="5"/>
  <c r="M17" i="5"/>
  <c r="L20" i="5"/>
  <c r="J23" i="3"/>
  <c r="P80" i="15"/>
  <c r="P17" i="11"/>
  <c r="O20" i="11"/>
  <c r="P17" i="7"/>
  <c r="O20" i="7"/>
  <c r="P12" i="12"/>
  <c r="O15" i="12"/>
  <c r="O22" i="12"/>
  <c r="Q15" i="14"/>
  <c r="R12" i="14"/>
  <c r="Q22" i="14"/>
  <c r="T17" i="16"/>
  <c r="S20" i="16"/>
  <c r="M44" i="12"/>
  <c r="M61" i="12"/>
  <c r="M65" i="12"/>
  <c r="M89" i="12"/>
  <c r="M24" i="12"/>
  <c r="L23" i="5"/>
  <c r="N13" i="5"/>
  <c r="O5" i="5"/>
  <c r="L89" i="12"/>
  <c r="P44" i="13"/>
  <c r="P61" i="13"/>
  <c r="P94" i="13"/>
  <c r="J57" i="3"/>
  <c r="J78" i="3"/>
  <c r="J24" i="3"/>
  <c r="N6" i="2"/>
  <c r="M34" i="2"/>
  <c r="M50" i="2"/>
  <c r="M52" i="2"/>
  <c r="R17" i="14"/>
  <c r="Q20" i="14"/>
  <c r="P35" i="14"/>
  <c r="P52" i="14"/>
  <c r="J80" i="3"/>
  <c r="M60" i="7"/>
  <c r="M82" i="7"/>
  <c r="M24" i="7"/>
  <c r="P20" i="13"/>
  <c r="Q17" i="13"/>
  <c r="S15" i="16"/>
  <c r="S23" i="16"/>
  <c r="T12" i="16"/>
  <c r="S22" i="16"/>
  <c r="Q35" i="15"/>
  <c r="Q53" i="15"/>
  <c r="N17" i="5"/>
  <c r="M20" i="5"/>
  <c r="P23" i="14"/>
  <c r="O13" i="3"/>
  <c r="P5" i="3"/>
  <c r="P13" i="3"/>
  <c r="L20" i="3"/>
  <c r="R15" i="15"/>
  <c r="R23" i="15"/>
  <c r="S12" i="15"/>
  <c r="R22" i="15"/>
  <c r="O24" i="14"/>
  <c r="O56" i="14"/>
  <c r="M94" i="12"/>
  <c r="M15" i="5"/>
  <c r="M23" i="5"/>
  <c r="N12" i="5"/>
  <c r="M22" i="5"/>
  <c r="L15" i="3"/>
  <c r="L23" i="3"/>
  <c r="M12" i="3"/>
  <c r="L22" i="3"/>
  <c r="S20" i="15"/>
  <c r="T17" i="15"/>
  <c r="P17" i="12"/>
  <c r="O20" i="12"/>
  <c r="T53" i="3"/>
  <c r="U32" i="3"/>
  <c r="O65" i="13"/>
  <c r="O89" i="13"/>
  <c r="O24" i="13"/>
  <c r="N24" i="11"/>
  <c r="N62" i="11"/>
  <c r="N84" i="11"/>
  <c r="N86" i="11"/>
  <c r="P22" i="13"/>
  <c r="P15" i="13"/>
  <c r="P23" i="13"/>
  <c r="Q12" i="13"/>
  <c r="N6" i="3"/>
  <c r="M18" i="3"/>
  <c r="M17" i="3"/>
  <c r="Q24" i="15"/>
  <c r="Q57" i="15"/>
  <c r="N24" i="12"/>
  <c r="O22" i="11"/>
  <c r="O15" i="11"/>
  <c r="O23" i="11"/>
  <c r="P12" i="11"/>
  <c r="N24" i="13"/>
  <c r="N65" i="13"/>
  <c r="N89" i="13"/>
  <c r="N91" i="13"/>
  <c r="O91" i="13"/>
  <c r="L91" i="12"/>
  <c r="M84" i="7"/>
  <c r="K23" i="3"/>
  <c r="R23" i="16"/>
  <c r="S56" i="7"/>
  <c r="T32" i="7"/>
  <c r="S56" i="5"/>
  <c r="T32" i="5"/>
  <c r="N15" i="7"/>
  <c r="N23" i="7"/>
  <c r="N22" i="7"/>
  <c r="O12" i="7"/>
  <c r="M20" i="3"/>
  <c r="N44" i="12"/>
  <c r="N61" i="12"/>
  <c r="N65" i="12"/>
  <c r="N20" i="5"/>
  <c r="O17" i="5"/>
  <c r="O6" i="2"/>
  <c r="N34" i="2"/>
  <c r="N50" i="2"/>
  <c r="N52" i="2"/>
  <c r="O13" i="5"/>
  <c r="P5" i="5"/>
  <c r="P13" i="5"/>
  <c r="Q17" i="7"/>
  <c r="P20" i="7"/>
  <c r="T56" i="5"/>
  <c r="U32" i="5"/>
  <c r="R24" i="16"/>
  <c r="P24" i="13"/>
  <c r="P65" i="13"/>
  <c r="P89" i="13"/>
  <c r="P91" i="13"/>
  <c r="N78" i="12"/>
  <c r="N93" i="12"/>
  <c r="N94" i="12"/>
  <c r="U17" i="16"/>
  <c r="T20" i="16"/>
  <c r="P20" i="11"/>
  <c r="Q17" i="11"/>
  <c r="P12" i="7"/>
  <c r="O22" i="7"/>
  <c r="O15" i="7"/>
  <c r="O23" i="7"/>
  <c r="S22" i="15"/>
  <c r="T12" i="15"/>
  <c r="S15" i="15"/>
  <c r="S23" i="15"/>
  <c r="T56" i="7"/>
  <c r="U32" i="7"/>
  <c r="N60" i="7"/>
  <c r="N82" i="7"/>
  <c r="N84" i="7"/>
  <c r="Q12" i="11"/>
  <c r="P15" i="11"/>
  <c r="P23" i="11"/>
  <c r="P22" i="11"/>
  <c r="N18" i="3"/>
  <c r="N17" i="3"/>
  <c r="O6" i="3"/>
  <c r="Q17" i="12"/>
  <c r="P20" i="12"/>
  <c r="M15" i="3"/>
  <c r="M23" i="3"/>
  <c r="N12" i="3"/>
  <c r="M22" i="3"/>
  <c r="O12" i="5"/>
  <c r="N22" i="5"/>
  <c r="N15" i="5"/>
  <c r="N23" i="5"/>
  <c r="O74" i="14"/>
  <c r="O76" i="14"/>
  <c r="P69" i="14"/>
  <c r="P78" i="14"/>
  <c r="P79" i="14"/>
  <c r="R24" i="15"/>
  <c r="S24" i="16"/>
  <c r="S12" i="14"/>
  <c r="R15" i="14"/>
  <c r="R22" i="14"/>
  <c r="O23" i="12"/>
  <c r="K57" i="3"/>
  <c r="K78" i="3"/>
  <c r="K24" i="3"/>
  <c r="T15" i="16"/>
  <c r="T23" i="16"/>
  <c r="U12" i="16"/>
  <c r="T22" i="16"/>
  <c r="Q44" i="13"/>
  <c r="Q61" i="13"/>
  <c r="N24" i="7"/>
  <c r="M91" i="12"/>
  <c r="O62" i="11"/>
  <c r="O84" i="11"/>
  <c r="O86" i="11"/>
  <c r="O24" i="11"/>
  <c r="Q70" i="15"/>
  <c r="Q79" i="15"/>
  <c r="Q80" i="15"/>
  <c r="R70" i="15"/>
  <c r="R79" i="15"/>
  <c r="Q15" i="13"/>
  <c r="Q22" i="13"/>
  <c r="R12" i="13"/>
  <c r="V32" i="3"/>
  <c r="V53" i="3"/>
  <c r="U53" i="3"/>
  <c r="U17" i="15"/>
  <c r="T20" i="15"/>
  <c r="L24" i="3"/>
  <c r="L57" i="3"/>
  <c r="L78" i="3"/>
  <c r="M60" i="5"/>
  <c r="M82" i="5"/>
  <c r="M24" i="5"/>
  <c r="P56" i="14"/>
  <c r="P74" i="14"/>
  <c r="P24" i="14"/>
  <c r="Q20" i="13"/>
  <c r="R17" i="13"/>
  <c r="K80" i="3"/>
  <c r="S17" i="14"/>
  <c r="R20" i="14"/>
  <c r="L60" i="5"/>
  <c r="L82" i="5"/>
  <c r="L84" i="5"/>
  <c r="L24" i="5"/>
  <c r="Q23" i="14"/>
  <c r="P15" i="12"/>
  <c r="P23" i="12"/>
  <c r="Q12" i="12"/>
  <c r="P22" i="12"/>
  <c r="O94" i="12"/>
  <c r="O44" i="12"/>
  <c r="O61" i="12"/>
  <c r="O65" i="12"/>
  <c r="N20" i="3"/>
  <c r="P24" i="12"/>
  <c r="R80" i="15"/>
  <c r="R35" i="15"/>
  <c r="R53" i="15"/>
  <c r="R57" i="15"/>
  <c r="U15" i="16"/>
  <c r="V12" i="16"/>
  <c r="U22" i="16"/>
  <c r="M57" i="3"/>
  <c r="M78" i="3"/>
  <c r="M24" i="3"/>
  <c r="T15" i="15"/>
  <c r="T23" i="15"/>
  <c r="T22" i="15"/>
  <c r="U12" i="15"/>
  <c r="N89" i="12"/>
  <c r="N91" i="12"/>
  <c r="Q24" i="14"/>
  <c r="R12" i="12"/>
  <c r="Q15" i="12"/>
  <c r="Q20" i="12"/>
  <c r="Q23" i="12"/>
  <c r="Q22" i="12"/>
  <c r="M84" i="5"/>
  <c r="R20" i="13"/>
  <c r="S17" i="13"/>
  <c r="R22" i="13"/>
  <c r="R15" i="13"/>
  <c r="R23" i="13"/>
  <c r="S12" i="13"/>
  <c r="Q75" i="15"/>
  <c r="Q77" i="15"/>
  <c r="T12" i="14"/>
  <c r="S15" i="14"/>
  <c r="S22" i="14"/>
  <c r="N24" i="5"/>
  <c r="N60" i="5"/>
  <c r="N82" i="5"/>
  <c r="O12" i="3"/>
  <c r="N15" i="3"/>
  <c r="N22" i="3"/>
  <c r="P6" i="3"/>
  <c r="P18" i="3"/>
  <c r="O18" i="3"/>
  <c r="O17" i="3"/>
  <c r="Q22" i="11"/>
  <c r="Q15" i="11"/>
  <c r="R12" i="11"/>
  <c r="S24" i="15"/>
  <c r="U20" i="15"/>
  <c r="V17" i="15"/>
  <c r="V20" i="15"/>
  <c r="O60" i="7"/>
  <c r="O82" i="7"/>
  <c r="O84" i="7"/>
  <c r="V17" i="16"/>
  <c r="V20" i="16"/>
  <c r="U20" i="16"/>
  <c r="T17" i="14"/>
  <c r="S20" i="14"/>
  <c r="Q23" i="13"/>
  <c r="T24" i="16"/>
  <c r="Q35" i="14"/>
  <c r="Q52" i="14"/>
  <c r="Q56" i="14"/>
  <c r="O15" i="5"/>
  <c r="O22" i="5"/>
  <c r="P12" i="5"/>
  <c r="U56" i="7"/>
  <c r="V32" i="7"/>
  <c r="V56" i="7"/>
  <c r="Q20" i="11"/>
  <c r="R17" i="11"/>
  <c r="R17" i="7"/>
  <c r="Q20" i="7"/>
  <c r="P6" i="2"/>
  <c r="O34" i="2"/>
  <c r="O50" i="2"/>
  <c r="O52" i="2"/>
  <c r="O24" i="12"/>
  <c r="P22" i="7"/>
  <c r="Q12" i="7"/>
  <c r="P15" i="7"/>
  <c r="P23" i="7"/>
  <c r="L80" i="3"/>
  <c r="R23" i="14"/>
  <c r="P76" i="14"/>
  <c r="R17" i="12"/>
  <c r="P24" i="11"/>
  <c r="P62" i="11"/>
  <c r="P84" i="11"/>
  <c r="P86" i="11"/>
  <c r="O24" i="7"/>
  <c r="V32" i="5"/>
  <c r="V56" i="5"/>
  <c r="U56" i="5"/>
  <c r="P17" i="5"/>
  <c r="O20" i="5"/>
  <c r="O20" i="3"/>
  <c r="P17" i="3"/>
  <c r="O89" i="12"/>
  <c r="P78" i="12"/>
  <c r="P93" i="12"/>
  <c r="O91" i="12"/>
  <c r="P44" i="12"/>
  <c r="P61" i="12"/>
  <c r="P65" i="12"/>
  <c r="P89" i="12"/>
  <c r="P91" i="12"/>
  <c r="R69" i="14"/>
  <c r="R78" i="14"/>
  <c r="Q69" i="14"/>
  <c r="Q78" i="14"/>
  <c r="Q79" i="14"/>
  <c r="Q12" i="5"/>
  <c r="P15" i="5"/>
  <c r="P22" i="5"/>
  <c r="T17" i="13"/>
  <c r="S20" i="13"/>
  <c r="U22" i="15"/>
  <c r="U15" i="15"/>
  <c r="U23" i="15"/>
  <c r="V12" i="15"/>
  <c r="P20" i="5"/>
  <c r="Q17" i="5"/>
  <c r="P24" i="7"/>
  <c r="P60" i="7"/>
  <c r="P82" i="7"/>
  <c r="P84" i="7"/>
  <c r="S17" i="7"/>
  <c r="R20" i="7"/>
  <c r="Q65" i="13"/>
  <c r="Q24" i="13"/>
  <c r="N23" i="3"/>
  <c r="S54" i="16"/>
  <c r="S58" i="16"/>
  <c r="U23" i="16"/>
  <c r="R12" i="7"/>
  <c r="Q22" i="7"/>
  <c r="Q15" i="7"/>
  <c r="Q23" i="7"/>
  <c r="R20" i="11"/>
  <c r="S17" i="11"/>
  <c r="O22" i="3"/>
  <c r="O15" i="3"/>
  <c r="O23" i="3"/>
  <c r="P12" i="3"/>
  <c r="Q24" i="12"/>
  <c r="R24" i="14"/>
  <c r="Q6" i="2"/>
  <c r="P34" i="2"/>
  <c r="P50" i="2"/>
  <c r="P52" i="2"/>
  <c r="U17" i="14"/>
  <c r="T20" i="14"/>
  <c r="R15" i="11"/>
  <c r="R23" i="11"/>
  <c r="R22" i="11"/>
  <c r="S12" i="11"/>
  <c r="U12" i="14"/>
  <c r="T15" i="14"/>
  <c r="T22" i="14"/>
  <c r="S15" i="13"/>
  <c r="S23" i="13"/>
  <c r="S22" i="13"/>
  <c r="T12" i="13"/>
  <c r="R15" i="12"/>
  <c r="R20" i="12"/>
  <c r="R23" i="12"/>
  <c r="S12" i="12"/>
  <c r="R22" i="12"/>
  <c r="S35" i="15"/>
  <c r="S53" i="15"/>
  <c r="S57" i="15"/>
  <c r="P94" i="12"/>
  <c r="S23" i="14"/>
  <c r="S70" i="15"/>
  <c r="S79" i="15"/>
  <c r="S80" i="15"/>
  <c r="R75" i="15"/>
  <c r="R77" i="15"/>
  <c r="S17" i="12"/>
  <c r="M80" i="3"/>
  <c r="O23" i="5"/>
  <c r="Q23" i="11"/>
  <c r="R24" i="13"/>
  <c r="N84" i="5"/>
  <c r="R76" i="16"/>
  <c r="R78" i="16"/>
  <c r="T24" i="15"/>
  <c r="V15" i="16"/>
  <c r="V23" i="16"/>
  <c r="V22" i="16"/>
  <c r="T54" i="16"/>
  <c r="T58" i="16"/>
  <c r="T76" i="16"/>
  <c r="T80" i="15"/>
  <c r="U80" i="15"/>
  <c r="V80" i="15"/>
  <c r="T35" i="15"/>
  <c r="T53" i="15"/>
  <c r="T57" i="15"/>
  <c r="T75" i="15"/>
  <c r="Q15" i="5"/>
  <c r="Q22" i="5"/>
  <c r="R12" i="5"/>
  <c r="O60" i="5"/>
  <c r="O82" i="5"/>
  <c r="O24" i="5"/>
  <c r="T12" i="12"/>
  <c r="S15" i="12"/>
  <c r="S20" i="12"/>
  <c r="S23" i="12"/>
  <c r="S22" i="12"/>
  <c r="S24" i="13"/>
  <c r="S15" i="11"/>
  <c r="S20" i="11"/>
  <c r="S23" i="11"/>
  <c r="S22" i="11"/>
  <c r="T12" i="11"/>
  <c r="V17" i="14"/>
  <c r="V20" i="14"/>
  <c r="U20" i="14"/>
  <c r="O57" i="3"/>
  <c r="O78" i="3"/>
  <c r="O24" i="3"/>
  <c r="N24" i="3"/>
  <c r="N57" i="3"/>
  <c r="N78" i="3"/>
  <c r="N80" i="3"/>
  <c r="O80" i="3"/>
  <c r="S20" i="7"/>
  <c r="T17" i="7"/>
  <c r="P23" i="5"/>
  <c r="Q60" i="7"/>
  <c r="Q82" i="7"/>
  <c r="Q84" i="7"/>
  <c r="Q24" i="7"/>
  <c r="U24" i="16"/>
  <c r="U58" i="16"/>
  <c r="U76" i="16"/>
  <c r="V15" i="15"/>
  <c r="V23" i="15"/>
  <c r="V22" i="15"/>
  <c r="V58" i="16"/>
  <c r="V76" i="16"/>
  <c r="V24" i="16"/>
  <c r="T17" i="12"/>
  <c r="S24" i="14"/>
  <c r="S75" i="15"/>
  <c r="S77" i="15"/>
  <c r="T77" i="15"/>
  <c r="U57" i="15"/>
  <c r="U75" i="15"/>
  <c r="U77" i="15"/>
  <c r="U12" i="13"/>
  <c r="T22" i="13"/>
  <c r="T15" i="13"/>
  <c r="T23" i="14"/>
  <c r="R24" i="11"/>
  <c r="R62" i="11"/>
  <c r="R84" i="11"/>
  <c r="R6" i="2"/>
  <c r="R34" i="2"/>
  <c r="R50" i="2"/>
  <c r="Q34" i="2"/>
  <c r="Q50" i="2"/>
  <c r="Q52" i="2"/>
  <c r="R52" i="2"/>
  <c r="Q78" i="13"/>
  <c r="Q93" i="13"/>
  <c r="Q94" i="13"/>
  <c r="Q89" i="13"/>
  <c r="Q91" i="13"/>
  <c r="R78" i="13"/>
  <c r="R93" i="13"/>
  <c r="U24" i="15"/>
  <c r="Q74" i="14"/>
  <c r="Q76" i="14"/>
  <c r="Q17" i="3"/>
  <c r="P20" i="3"/>
  <c r="R24" i="12"/>
  <c r="T20" i="13"/>
  <c r="U17" i="13"/>
  <c r="O84" i="5"/>
  <c r="Q24" i="11"/>
  <c r="Q62" i="11"/>
  <c r="Q84" i="11"/>
  <c r="Q86" i="11"/>
  <c r="Q44" i="12"/>
  <c r="Q61" i="12"/>
  <c r="Q65" i="12"/>
  <c r="U15" i="14"/>
  <c r="U23" i="14"/>
  <c r="U22" i="14"/>
  <c r="V12" i="14"/>
  <c r="Q12" i="3"/>
  <c r="P22" i="3"/>
  <c r="P15" i="3"/>
  <c r="P23" i="3"/>
  <c r="T17" i="11"/>
  <c r="S12" i="7"/>
  <c r="R22" i="7"/>
  <c r="R15" i="7"/>
  <c r="R23" i="7"/>
  <c r="T80" i="16"/>
  <c r="T81" i="16"/>
  <c r="U81" i="16"/>
  <c r="V81" i="16"/>
  <c r="S76" i="16"/>
  <c r="S78" i="16"/>
  <c r="T78" i="16"/>
  <c r="U78" i="16"/>
  <c r="V78" i="16"/>
  <c r="Q20" i="5"/>
  <c r="R17" i="5"/>
  <c r="R35" i="14"/>
  <c r="R52" i="14"/>
  <c r="R56" i="14"/>
  <c r="R79" i="14"/>
  <c r="P57" i="3"/>
  <c r="P78" i="3"/>
  <c r="P80" i="3"/>
  <c r="U56" i="14"/>
  <c r="U74" i="14"/>
  <c r="U24" i="14"/>
  <c r="P24" i="3"/>
  <c r="R86" i="11"/>
  <c r="R17" i="3"/>
  <c r="Q20" i="3"/>
  <c r="T23" i="13"/>
  <c r="V24" i="15"/>
  <c r="V57" i="15"/>
  <c r="V75" i="15"/>
  <c r="V77" i="15"/>
  <c r="S35" i="14"/>
  <c r="S52" i="14"/>
  <c r="S56" i="14"/>
  <c r="S69" i="14"/>
  <c r="S74" i="14"/>
  <c r="S24" i="12"/>
  <c r="R15" i="5"/>
  <c r="S12" i="5"/>
  <c r="R22" i="5"/>
  <c r="R74" i="14"/>
  <c r="S78" i="14"/>
  <c r="S79" i="14"/>
  <c r="U17" i="11"/>
  <c r="T20" i="11"/>
  <c r="R12" i="3"/>
  <c r="Q22" i="3"/>
  <c r="Q15" i="3"/>
  <c r="Q23" i="3"/>
  <c r="Q78" i="12"/>
  <c r="Q93" i="12"/>
  <c r="Q94" i="12"/>
  <c r="R78" i="12"/>
  <c r="R93" i="12"/>
  <c r="Q89" i="12"/>
  <c r="Q91" i="12"/>
  <c r="R94" i="13"/>
  <c r="R44" i="13"/>
  <c r="R61" i="13"/>
  <c r="R65" i="13"/>
  <c r="V12" i="13"/>
  <c r="U15" i="13"/>
  <c r="U22" i="13"/>
  <c r="T20" i="12"/>
  <c r="U17" i="12"/>
  <c r="P24" i="5"/>
  <c r="P60" i="5"/>
  <c r="P82" i="5"/>
  <c r="P84" i="5"/>
  <c r="T22" i="12"/>
  <c r="U12" i="12"/>
  <c r="T15" i="12"/>
  <c r="S15" i="7"/>
  <c r="S23" i="7"/>
  <c r="S22" i="7"/>
  <c r="T12" i="7"/>
  <c r="R76" i="14"/>
  <c r="S62" i="11"/>
  <c r="S84" i="11"/>
  <c r="S24" i="11"/>
  <c r="R20" i="5"/>
  <c r="S17" i="5"/>
  <c r="R60" i="7"/>
  <c r="R82" i="7"/>
  <c r="R84" i="7"/>
  <c r="R24" i="7"/>
  <c r="V15" i="14"/>
  <c r="V23" i="14"/>
  <c r="V22" i="14"/>
  <c r="V17" i="13"/>
  <c r="V20" i="13"/>
  <c r="U20" i="13"/>
  <c r="T24" i="14"/>
  <c r="T20" i="7"/>
  <c r="U17" i="7"/>
  <c r="T15" i="11"/>
  <c r="T23" i="11"/>
  <c r="U12" i="11"/>
  <c r="T22" i="11"/>
  <c r="Q23" i="5"/>
  <c r="T79" i="14"/>
  <c r="U79" i="14"/>
  <c r="V79" i="14"/>
  <c r="T35" i="14"/>
  <c r="T52" i="14"/>
  <c r="T56" i="14"/>
  <c r="T74" i="14"/>
  <c r="S60" i="7"/>
  <c r="S82" i="7"/>
  <c r="S84" i="7"/>
  <c r="V56" i="14"/>
  <c r="V74" i="14"/>
  <c r="V24" i="14"/>
  <c r="T22" i="7"/>
  <c r="T15" i="7"/>
  <c r="T23" i="7"/>
  <c r="U12" i="7"/>
  <c r="V12" i="12"/>
  <c r="U15" i="12"/>
  <c r="U22" i="12"/>
  <c r="V22" i="13"/>
  <c r="V15" i="13"/>
  <c r="V23" i="13"/>
  <c r="V12" i="11"/>
  <c r="U22" i="11"/>
  <c r="U15" i="11"/>
  <c r="S20" i="5"/>
  <c r="T17" i="5"/>
  <c r="S76" i="14"/>
  <c r="T76" i="14"/>
  <c r="U76" i="14"/>
  <c r="V76" i="14"/>
  <c r="T23" i="12"/>
  <c r="U23" i="13"/>
  <c r="Q57" i="3"/>
  <c r="Q78" i="3"/>
  <c r="Q80" i="3"/>
  <c r="Q24" i="3"/>
  <c r="V17" i="11"/>
  <c r="V20" i="11"/>
  <c r="U20" i="11"/>
  <c r="T12" i="5"/>
  <c r="S15" i="5"/>
  <c r="S22" i="5"/>
  <c r="S86" i="11"/>
  <c r="Q60" i="5"/>
  <c r="Q82" i="5"/>
  <c r="Q84" i="5"/>
  <c r="Q24" i="5"/>
  <c r="V17" i="7"/>
  <c r="V20" i="7"/>
  <c r="U20" i="7"/>
  <c r="S78" i="13"/>
  <c r="S93" i="13"/>
  <c r="R89" i="13"/>
  <c r="R91" i="13"/>
  <c r="S12" i="3"/>
  <c r="R15" i="3"/>
  <c r="R20" i="3"/>
  <c r="R23" i="3"/>
  <c r="R22" i="3"/>
  <c r="T24" i="11"/>
  <c r="T62" i="11"/>
  <c r="T84" i="11"/>
  <c r="U20" i="12"/>
  <c r="V17" i="12"/>
  <c r="V20" i="12"/>
  <c r="R23" i="5"/>
  <c r="T24" i="13"/>
  <c r="S24" i="7"/>
  <c r="S44" i="13"/>
  <c r="S61" i="13"/>
  <c r="S65" i="13"/>
  <c r="S89" i="13"/>
  <c r="S94" i="13"/>
  <c r="R94" i="12"/>
  <c r="R44" i="12"/>
  <c r="R61" i="12"/>
  <c r="R65" i="12"/>
  <c r="S17" i="3"/>
  <c r="T94" i="13"/>
  <c r="U94" i="13"/>
  <c r="V94" i="13"/>
  <c r="T44" i="13"/>
  <c r="T61" i="13"/>
  <c r="T65" i="13"/>
  <c r="T89" i="13"/>
  <c r="T20" i="5"/>
  <c r="U17" i="5"/>
  <c r="V15" i="11"/>
  <c r="V23" i="11"/>
  <c r="V22" i="11"/>
  <c r="T12" i="3"/>
  <c r="S15" i="3"/>
  <c r="S22" i="3"/>
  <c r="T86" i="11"/>
  <c r="U65" i="13"/>
  <c r="U89" i="13"/>
  <c r="U24" i="13"/>
  <c r="U23" i="12"/>
  <c r="T15" i="5"/>
  <c r="T23" i="5"/>
  <c r="T22" i="5"/>
  <c r="U12" i="5"/>
  <c r="T24" i="7"/>
  <c r="T60" i="7"/>
  <c r="T82" i="7"/>
  <c r="T84" i="7"/>
  <c r="S78" i="12"/>
  <c r="S93" i="12"/>
  <c r="R89" i="12"/>
  <c r="R91" i="12"/>
  <c r="S44" i="12"/>
  <c r="S61" i="12"/>
  <c r="S65" i="12"/>
  <c r="S89" i="12"/>
  <c r="S91" i="12"/>
  <c r="R24" i="5"/>
  <c r="R60" i="5"/>
  <c r="R82" i="5"/>
  <c r="R84" i="5"/>
  <c r="S91" i="13"/>
  <c r="T91" i="13"/>
  <c r="U91" i="13"/>
  <c r="T24" i="12"/>
  <c r="U23" i="11"/>
  <c r="V65" i="13"/>
  <c r="V89" i="13"/>
  <c r="V24" i="13"/>
  <c r="V15" i="12"/>
  <c r="V23" i="12"/>
  <c r="V22" i="12"/>
  <c r="T17" i="3"/>
  <c r="S20" i="3"/>
  <c r="R57" i="3"/>
  <c r="R78" i="3"/>
  <c r="R80" i="3"/>
  <c r="R24" i="3"/>
  <c r="S94" i="12"/>
  <c r="S23" i="5"/>
  <c r="U15" i="7"/>
  <c r="U23" i="7"/>
  <c r="V12" i="7"/>
  <c r="U22" i="7"/>
  <c r="S60" i="5"/>
  <c r="S82" i="5"/>
  <c r="S84" i="5"/>
  <c r="T60" i="5"/>
  <c r="T82" i="5"/>
  <c r="T84" i="5"/>
  <c r="S23" i="3"/>
  <c r="T20" i="3"/>
  <c r="U17" i="3"/>
  <c r="S24" i="5"/>
  <c r="V24" i="12"/>
  <c r="V65" i="12"/>
  <c r="V89" i="12"/>
  <c r="U65" i="12"/>
  <c r="U89" i="12"/>
  <c r="U24" i="12"/>
  <c r="V24" i="11"/>
  <c r="V62" i="11"/>
  <c r="V84" i="11"/>
  <c r="V22" i="7"/>
  <c r="V15" i="7"/>
  <c r="V23" i="7"/>
  <c r="V91" i="13"/>
  <c r="T22" i="3"/>
  <c r="U12" i="3"/>
  <c r="T15" i="3"/>
  <c r="T23" i="3"/>
  <c r="V17" i="5"/>
  <c r="V20" i="5"/>
  <c r="U20" i="5"/>
  <c r="T94" i="12"/>
  <c r="U94" i="12"/>
  <c r="V94" i="12"/>
  <c r="T44" i="12"/>
  <c r="T61" i="12"/>
  <c r="T65" i="12"/>
  <c r="T89" i="12"/>
  <c r="T91" i="12"/>
  <c r="U91" i="12"/>
  <c r="V91" i="12"/>
  <c r="V12" i="5"/>
  <c r="U15" i="5"/>
  <c r="U23" i="5"/>
  <c r="U22" i="5"/>
  <c r="U60" i="7"/>
  <c r="U82" i="7"/>
  <c r="U84" i="7"/>
  <c r="U24" i="7"/>
  <c r="U62" i="11"/>
  <c r="U84" i="11"/>
  <c r="U24" i="11"/>
  <c r="T24" i="5"/>
  <c r="U86" i="11"/>
  <c r="V86" i="11"/>
  <c r="V12" i="3"/>
  <c r="U15" i="3"/>
  <c r="U20" i="3"/>
  <c r="U23" i="3"/>
  <c r="U22" i="3"/>
  <c r="V17" i="3"/>
  <c r="V20" i="3"/>
  <c r="V15" i="5"/>
  <c r="V23" i="5"/>
  <c r="V22" i="5"/>
  <c r="U60" i="5"/>
  <c r="U82" i="5"/>
  <c r="U24" i="5"/>
  <c r="U84" i="5"/>
  <c r="T57" i="3"/>
  <c r="T78" i="3"/>
  <c r="T24" i="3"/>
  <c r="V24" i="7"/>
  <c r="V60" i="7"/>
  <c r="V82" i="7"/>
  <c r="V84" i="7"/>
  <c r="S24" i="3"/>
  <c r="S57" i="3"/>
  <c r="S78" i="3"/>
  <c r="S80" i="3"/>
  <c r="T80" i="3"/>
  <c r="V24" i="5"/>
  <c r="V60" i="5"/>
  <c r="V82" i="5"/>
  <c r="U57" i="3"/>
  <c r="U78" i="3"/>
  <c r="U80" i="3"/>
  <c r="U24" i="3"/>
  <c r="V15" i="3"/>
  <c r="V23" i="3"/>
  <c r="V22" i="3"/>
  <c r="V84" i="5"/>
  <c r="V57" i="3"/>
  <c r="V78" i="3"/>
  <c r="V80" i="3"/>
  <c r="V24" i="3"/>
  <c r="L28" i="17"/>
  <c r="L75" i="17"/>
  <c r="L74" i="17"/>
  <c r="L73" i="17"/>
  <c r="L71" i="17"/>
  <c r="L72" i="17"/>
  <c r="L70" i="17"/>
  <c r="L69" i="17"/>
  <c r="L68" i="17"/>
  <c r="L67" i="17"/>
  <c r="L66" i="17"/>
  <c r="L65" i="17"/>
  <c r="L64" i="17"/>
  <c r="L63" i="17"/>
  <c r="L62" i="17"/>
  <c r="L61" i="17"/>
  <c r="L59" i="17"/>
  <c r="L60" i="17"/>
  <c r="L58" i="17"/>
  <c r="L57" i="17"/>
  <c r="L56" i="17"/>
  <c r="L54" i="17"/>
  <c r="L55" i="17"/>
  <c r="L53" i="17"/>
  <c r="L52" i="17"/>
  <c r="L51" i="17"/>
  <c r="L50" i="17"/>
  <c r="L49" i="17"/>
  <c r="L48" i="17"/>
  <c r="L47" i="17"/>
  <c r="L45" i="17"/>
  <c r="L46" i="17"/>
  <c r="L44" i="17"/>
  <c r="L43" i="17"/>
  <c r="L42" i="17"/>
  <c r="L41" i="17"/>
  <c r="L40" i="17"/>
  <c r="L39" i="17"/>
  <c r="L38" i="17"/>
  <c r="L37" i="17"/>
  <c r="L36" i="17"/>
  <c r="L35" i="17"/>
  <c r="L34" i="17"/>
  <c r="L33" i="17"/>
  <c r="L31" i="17"/>
  <c r="L32" i="17"/>
  <c r="L30" i="17"/>
  <c r="L29" i="17"/>
</calcChain>
</file>

<file path=xl/comments1.xml><?xml version="1.0" encoding="utf-8"?>
<comments xmlns="http://schemas.openxmlformats.org/spreadsheetml/2006/main">
  <authors>
    <author>Vic</author>
  </authors>
  <commentList>
    <comment ref="E17" authorId="0">
      <text>
        <r>
          <rPr>
            <b/>
            <sz val="12"/>
            <color indexed="10"/>
            <rFont val="Tahoma"/>
            <family val="2"/>
          </rPr>
          <t>Lespac sold in Nov
Canpages closed early Feb 2012 may account for revenue drop</t>
        </r>
        <r>
          <rPr>
            <sz val="9"/>
            <color indexed="81"/>
            <rFont val="Tahoma"/>
            <family val="2"/>
          </rPr>
          <t xml:space="preserve">
</t>
        </r>
      </text>
    </comment>
    <comment ref="E30" authorId="0">
      <text>
        <r>
          <rPr>
            <b/>
            <sz val="9"/>
            <color indexed="10"/>
            <rFont val="Tahoma"/>
            <family val="2"/>
          </rPr>
          <t>Interest on RT draw-down of $239 million on Feb 9th</t>
        </r>
        <r>
          <rPr>
            <sz val="9"/>
            <color indexed="10"/>
            <rFont val="Tahoma"/>
            <family val="2"/>
          </rPr>
          <t xml:space="preserve">
</t>
        </r>
      </text>
    </comment>
    <comment ref="I35" authorId="0">
      <text>
        <r>
          <rPr>
            <b/>
            <sz val="12"/>
            <color indexed="10"/>
            <rFont val="Tahoma"/>
            <family val="2"/>
          </rPr>
          <t>Statement of Cash Flows:
Total interest paid = $13,978</t>
        </r>
      </text>
    </comment>
    <comment ref="L35" authorId="0">
      <text>
        <r>
          <rPr>
            <b/>
            <sz val="12"/>
            <color indexed="10"/>
            <rFont val="Tahoma"/>
            <family val="2"/>
          </rPr>
          <t>2013 Total = $76.13MM</t>
        </r>
        <r>
          <rPr>
            <sz val="9"/>
            <color indexed="81"/>
            <rFont val="Tahoma"/>
            <family val="2"/>
          </rPr>
          <t xml:space="preserve">
</t>
        </r>
        <r>
          <rPr>
            <b/>
            <sz val="9"/>
            <color indexed="10"/>
            <rFont val="Tahoma"/>
            <family val="2"/>
          </rPr>
          <t>Including $8.6MM for debentures</t>
        </r>
      </text>
    </comment>
    <comment ref="B36" authorId="0">
      <text>
        <r>
          <rPr>
            <b/>
            <sz val="12"/>
            <color indexed="10"/>
            <rFont val="Tahoma"/>
            <family val="2"/>
          </rPr>
          <t xml:space="preserve">Semi-annual interest payments in May and November
</t>
        </r>
      </text>
    </comment>
    <comment ref="E38" authorId="0">
      <text>
        <r>
          <rPr>
            <b/>
            <sz val="12"/>
            <color indexed="10"/>
            <rFont val="Tahoma"/>
            <family val="2"/>
          </rPr>
          <t>Deferred consideration/other</t>
        </r>
        <r>
          <rPr>
            <sz val="9"/>
            <color indexed="81"/>
            <rFont val="Tahoma"/>
            <family val="2"/>
          </rPr>
          <t xml:space="preserve">
</t>
        </r>
      </text>
    </comment>
    <comment ref="I38" authorId="0">
      <text>
        <r>
          <rPr>
            <b/>
            <sz val="12"/>
            <color indexed="10"/>
            <rFont val="Tahoma"/>
            <family val="2"/>
          </rPr>
          <t>Statement of Cash flows:
Deferred Consideration = $5,624
Repayment of long term debt = $141</t>
        </r>
      </text>
    </comment>
    <comment ref="L38" authorId="0">
      <text>
        <r>
          <rPr>
            <b/>
            <sz val="12"/>
            <color indexed="10"/>
            <rFont val="Tahoma"/>
            <family val="2"/>
          </rPr>
          <t>Loss on redemption of secured secured notes
Pg 28 of statements</t>
        </r>
        <r>
          <rPr>
            <sz val="9"/>
            <color indexed="81"/>
            <rFont val="Tahoma"/>
            <family val="2"/>
          </rPr>
          <t xml:space="preserve">
</t>
        </r>
      </text>
    </comment>
    <comment ref="E40" authorId="0">
      <text>
        <r>
          <rPr>
            <b/>
            <sz val="12"/>
            <color indexed="10"/>
            <rFont val="Tahoma"/>
            <family val="2"/>
          </rPr>
          <t>2012 taxes = $125E</t>
        </r>
        <r>
          <rPr>
            <b/>
            <sz val="9"/>
            <color indexed="81"/>
            <rFont val="Tahoma"/>
            <family val="2"/>
          </rPr>
          <t xml:space="preserve">
</t>
        </r>
      </text>
    </comment>
    <comment ref="L40" authorId="0">
      <text>
        <r>
          <rPr>
            <b/>
            <sz val="12"/>
            <color indexed="10"/>
            <rFont val="Tahoma"/>
            <family val="2"/>
          </rPr>
          <t>Income Taxes $63.4 for 2013
Paid in 2013 = $16.2MM</t>
        </r>
      </text>
    </comment>
    <comment ref="M40" authorId="0">
      <text>
        <r>
          <rPr>
            <b/>
            <sz val="12"/>
            <color indexed="10"/>
            <rFont val="Tahoma"/>
            <family val="2"/>
          </rPr>
          <t xml:space="preserve">2014 estimate = $100 MM
</t>
        </r>
      </text>
    </comment>
    <comment ref="N40" authorId="0">
      <text>
        <r>
          <rPr>
            <b/>
            <sz val="12"/>
            <color indexed="10"/>
            <rFont val="Tahoma"/>
            <family val="2"/>
          </rPr>
          <t xml:space="preserve">2014 estimate = $100 MM
</t>
        </r>
      </text>
    </comment>
    <comment ref="O40" authorId="0">
      <text>
        <r>
          <rPr>
            <b/>
            <sz val="12"/>
            <color indexed="10"/>
            <rFont val="Tahoma"/>
            <family val="2"/>
          </rPr>
          <t xml:space="preserve">2014 estimate = $100 MM
</t>
        </r>
      </text>
    </comment>
    <comment ref="P40" authorId="0">
      <text>
        <r>
          <rPr>
            <b/>
            <sz val="12"/>
            <color indexed="10"/>
            <rFont val="Tahoma"/>
            <family val="2"/>
          </rPr>
          <t xml:space="preserve">2014 estimate = $100 MM
</t>
        </r>
      </text>
    </comment>
    <comment ref="L42" authorId="0">
      <text>
        <r>
          <rPr>
            <b/>
            <sz val="12"/>
            <color indexed="10"/>
            <rFont val="Tahoma"/>
            <family val="2"/>
          </rPr>
          <t>2013 Total = $69.55MM</t>
        </r>
      </text>
    </comment>
    <comment ref="B43" authorId="0">
      <text>
        <r>
          <rPr>
            <b/>
            <sz val="9"/>
            <color indexed="81"/>
            <rFont val="Tahoma"/>
            <family val="2"/>
          </rPr>
          <t>Consolidated stmt of Cash Flows</t>
        </r>
        <r>
          <rPr>
            <sz val="9"/>
            <color indexed="81"/>
            <rFont val="Tahoma"/>
            <family val="2"/>
          </rPr>
          <t xml:space="preserve">
</t>
        </r>
      </text>
    </comment>
    <comment ref="I43" authorId="0">
      <text>
        <r>
          <rPr>
            <b/>
            <sz val="12"/>
            <color indexed="10"/>
            <rFont val="Tahoma"/>
            <family val="2"/>
          </rPr>
          <t>Statement of Cash Flows:
Post employment benefits in excess of cost = $1,791</t>
        </r>
      </text>
    </comment>
    <comment ref="L43" authorId="0">
      <text>
        <r>
          <rPr>
            <b/>
            <sz val="12"/>
            <color indexed="10"/>
            <rFont val="Tahoma"/>
            <family val="2"/>
          </rPr>
          <t>2013 Total = $4.95MM</t>
        </r>
        <r>
          <rPr>
            <sz val="9"/>
            <color indexed="81"/>
            <rFont val="Tahoma"/>
            <family val="2"/>
          </rPr>
          <t xml:space="preserve">
</t>
        </r>
      </text>
    </comment>
    <comment ref="E44" authorId="0">
      <text>
        <r>
          <rPr>
            <b/>
            <sz val="10"/>
            <color indexed="10"/>
            <rFont val="Tahoma"/>
            <family val="2"/>
          </rPr>
          <t>Adjusted from $42.7 for unidentified items.</t>
        </r>
      </text>
    </comment>
    <comment ref="I44" authorId="0">
      <text>
        <r>
          <rPr>
            <b/>
            <sz val="12"/>
            <color indexed="10"/>
            <rFont val="Tahoma"/>
            <family val="2"/>
          </rPr>
          <t>Statement of Cash Flows:
Change in operating assets/liabilities = $12,200 +</t>
        </r>
      </text>
    </comment>
    <comment ref="L44" authorId="0">
      <text>
        <r>
          <rPr>
            <b/>
            <sz val="12"/>
            <color indexed="10"/>
            <rFont val="Tahoma"/>
            <family val="2"/>
          </rPr>
          <t>2013 Total = $50.645MM</t>
        </r>
        <r>
          <rPr>
            <sz val="12"/>
            <color indexed="81"/>
            <rFont val="Tahoma"/>
            <family val="2"/>
          </rPr>
          <t xml:space="preserve">
</t>
        </r>
      </text>
    </comment>
    <comment ref="H48" authorId="0">
      <text>
        <r>
          <rPr>
            <b/>
            <sz val="16"/>
            <color indexed="10"/>
            <rFont val="Tahoma"/>
            <family val="2"/>
          </rPr>
          <t>Total Recap fees
$63 MM total</t>
        </r>
        <r>
          <rPr>
            <sz val="9"/>
            <color indexed="81"/>
            <rFont val="Tahoma"/>
            <family val="2"/>
          </rPr>
          <t xml:space="preserve">
</t>
        </r>
      </text>
    </comment>
    <comment ref="I51" authorId="0">
      <text>
        <r>
          <rPr>
            <b/>
            <sz val="12"/>
            <color indexed="10"/>
            <rFont val="Tahoma"/>
            <family val="2"/>
          </rPr>
          <t xml:space="preserve">Variance  due sales tax assessment
pg 9 of MD&amp;A </t>
        </r>
      </text>
    </comment>
    <comment ref="H56" authorId="0">
      <text>
        <r>
          <rPr>
            <b/>
            <sz val="14"/>
            <color indexed="10"/>
            <rFont val="Tahoma"/>
            <family val="2"/>
          </rPr>
          <t>Cash to lenders and MTN's</t>
        </r>
        <r>
          <rPr>
            <sz val="9"/>
            <color indexed="81"/>
            <rFont val="Tahoma"/>
            <family val="2"/>
          </rPr>
          <t xml:space="preserve">
</t>
        </r>
      </text>
    </comment>
    <comment ref="D57" authorId="0">
      <text>
        <r>
          <rPr>
            <b/>
            <sz val="12"/>
            <color indexed="10"/>
            <rFont val="Tahoma"/>
            <family val="2"/>
          </rPr>
          <t>Lespac sale</t>
        </r>
        <r>
          <rPr>
            <sz val="9"/>
            <color indexed="81"/>
            <rFont val="Tahoma"/>
            <family val="2"/>
          </rPr>
          <t xml:space="preserve">
</t>
        </r>
      </text>
    </comment>
    <comment ref="H60" authorId="0">
      <text>
        <r>
          <rPr>
            <b/>
            <sz val="12"/>
            <color indexed="10"/>
            <rFont val="Tahoma"/>
            <family val="2"/>
          </rPr>
          <t xml:space="preserve">Debt that has been reduced excluding convertible preferred shares
</t>
        </r>
      </text>
    </comment>
    <comment ref="D65" authorId="0">
      <text>
        <r>
          <rPr>
            <b/>
            <sz val="9"/>
            <color indexed="81"/>
            <rFont val="Tahoma"/>
            <family val="2"/>
          </rPr>
          <t xml:space="preserve">Cleared per IR </t>
        </r>
        <r>
          <rPr>
            <sz val="9"/>
            <color indexed="81"/>
            <rFont val="Tahoma"/>
            <family val="2"/>
          </rPr>
          <t xml:space="preserve">
</t>
        </r>
      </text>
    </comment>
    <comment ref="E65" authorId="0">
      <text>
        <r>
          <rPr>
            <b/>
            <sz val="12"/>
            <color indexed="10"/>
            <rFont val="Tahoma"/>
            <family val="2"/>
          </rPr>
          <t xml:space="preserve">Jan 1. 2012 installment </t>
        </r>
        <r>
          <rPr>
            <sz val="9"/>
            <color indexed="81"/>
            <rFont val="Tahoma"/>
            <family val="2"/>
          </rPr>
          <t xml:space="preserve">
</t>
        </r>
      </text>
    </comment>
    <comment ref="F65" authorId="0">
      <text>
        <r>
          <rPr>
            <b/>
            <sz val="14"/>
            <color indexed="10"/>
            <rFont val="Tahoma"/>
            <family val="2"/>
          </rPr>
          <t>March 1, 2012 installment</t>
        </r>
      </text>
    </comment>
    <comment ref="G65" authorId="0">
      <text>
        <r>
          <rPr>
            <b/>
            <sz val="14"/>
            <color indexed="10"/>
            <rFont val="Tahoma"/>
            <family val="2"/>
          </rPr>
          <t>June 1, 2012 installment</t>
        </r>
      </text>
    </comment>
    <comment ref="H65" authorId="0">
      <text>
        <r>
          <rPr>
            <b/>
            <sz val="16"/>
            <color indexed="10"/>
            <rFont val="Tahoma"/>
            <family val="2"/>
          </rPr>
          <t>Oct 1, 2012 payment of $25 million
plus additional $25 million payment
balance of $80 million "recapped"</t>
        </r>
      </text>
    </comment>
    <comment ref="E66" authorId="0">
      <text>
        <r>
          <rPr>
            <b/>
            <sz val="12"/>
            <color indexed="10"/>
            <rFont val="Tahoma"/>
            <family val="2"/>
          </rPr>
          <t>Drawdown of LOC  per 4Q-2011 supplemtals</t>
        </r>
        <r>
          <rPr>
            <sz val="9"/>
            <color indexed="81"/>
            <rFont val="Tahoma"/>
            <family val="2"/>
          </rPr>
          <t xml:space="preserve">
</t>
        </r>
      </text>
    </comment>
    <comment ref="D67" authorId="0">
      <text>
        <r>
          <rPr>
            <b/>
            <sz val="9"/>
            <color indexed="81"/>
            <rFont val="Tahoma"/>
            <family val="2"/>
          </rPr>
          <t>Cleared per IR</t>
        </r>
        <r>
          <rPr>
            <sz val="9"/>
            <color indexed="81"/>
            <rFont val="Tahoma"/>
            <family val="2"/>
          </rPr>
          <t xml:space="preserve">
</t>
        </r>
      </text>
    </comment>
    <comment ref="J71" authorId="0">
      <text>
        <r>
          <rPr>
            <b/>
            <sz val="12"/>
            <color indexed="10"/>
            <rFont val="Tahoma"/>
            <family val="2"/>
          </rPr>
          <t xml:space="preserve">Conference call details:
2013 - $100 MM
2014 - $  75 MM
</t>
        </r>
      </text>
    </comment>
    <comment ref="K71" authorId="0">
      <text>
        <r>
          <rPr>
            <b/>
            <sz val="12"/>
            <color indexed="10"/>
            <rFont val="Tahoma"/>
            <family val="2"/>
          </rPr>
          <t>Open-market acquisition on 
September 25th</t>
        </r>
      </text>
    </comment>
    <comment ref="L71" authorId="0">
      <text>
        <r>
          <rPr>
            <b/>
            <sz val="12"/>
            <color indexed="10"/>
            <rFont val="Tahoma"/>
            <family val="2"/>
          </rPr>
          <t>Optional Redemption     - $27.0 MM
Mandatory Redemption - $92.4 MM
Source: Q3-MD&amp;A
Secured notes outstanding = $646.6MM</t>
        </r>
        <r>
          <rPr>
            <sz val="9"/>
            <color indexed="81"/>
            <rFont val="Tahoma"/>
            <family val="2"/>
          </rPr>
          <t xml:space="preserve">
</t>
        </r>
      </text>
    </comment>
    <comment ref="D92" authorId="0">
      <text>
        <r>
          <rPr>
            <b/>
            <sz val="14"/>
            <color indexed="10"/>
            <rFont val="Tahoma"/>
            <family val="2"/>
          </rPr>
          <t>EBITDA less Depreciation and Amortization, ignoring special items such as impairment charges, restructuring charges, and gains on settlement of debt.  These are usually one-time adjustments (noise).</t>
        </r>
        <r>
          <rPr>
            <b/>
            <sz val="14"/>
            <color indexed="81"/>
            <rFont val="Tahoma"/>
            <family val="2"/>
          </rPr>
          <t xml:space="preserve">
</t>
        </r>
      </text>
    </comment>
    <comment ref="H92" authorId="0">
      <text>
        <r>
          <rPr>
            <b/>
            <sz val="12"/>
            <color indexed="10"/>
            <rFont val="Tahoma"/>
            <family val="2"/>
          </rPr>
          <t>EBITDA    -  Dep/ Amort = Adjusted earnings from Ops 
 $ 141.6    -         23.4       =    $118.2  million</t>
        </r>
        <r>
          <rPr>
            <sz val="9"/>
            <color indexed="81"/>
            <rFont val="Tahoma"/>
            <family val="2"/>
          </rPr>
          <t xml:space="preserve">
</t>
        </r>
      </text>
    </comment>
    <comment ref="I92" authorId="0">
      <text>
        <r>
          <rPr>
            <b/>
            <sz val="12"/>
            <color indexed="10"/>
            <rFont val="Tahoma"/>
            <family val="2"/>
          </rPr>
          <t>EBITDA    -  Dep/ Amort = Adjusted earnings from Ops 
 $ 115.5    -        $ 13.7       =    $ 101.8  million</t>
        </r>
      </text>
    </comment>
    <comment ref="J92" authorId="0">
      <text>
        <r>
          <rPr>
            <b/>
            <sz val="12"/>
            <color indexed="10"/>
            <rFont val="Tahoma"/>
            <family val="2"/>
          </rPr>
          <t>EBITDA    -  Dep/ Amort = Adjusted earnings from Ops 
 $ 107.2    -        $ 14.8       =    $ 92.4  million</t>
        </r>
      </text>
    </comment>
    <comment ref="K92" authorId="0">
      <text>
        <r>
          <rPr>
            <b/>
            <sz val="12"/>
            <color indexed="10"/>
            <rFont val="Tahoma"/>
            <family val="2"/>
          </rPr>
          <t>EBITDA    -  Dep/ Amort = Adjusted earnings from Ops 
 $ 102.1    -        $ 11.0       =    $ 91.1  million</t>
        </r>
      </text>
    </comment>
    <comment ref="L92" authorId="0">
      <text>
        <r>
          <rPr>
            <b/>
            <sz val="12"/>
            <color indexed="10"/>
            <rFont val="Tahoma"/>
            <family val="2"/>
          </rPr>
          <t>EBITDA    -  Dep/ Amort = Adjusted earnings from Ops 
 $ 91.3      -     $ 16.0       =    $ 75.3  million</t>
        </r>
      </text>
    </comment>
    <comment ref="I98" authorId="0">
      <text>
        <r>
          <rPr>
            <b/>
            <sz val="12"/>
            <color indexed="10"/>
            <rFont val="Tahoma"/>
            <family val="2"/>
          </rPr>
          <t xml:space="preserve">Closing share price as at May 21, 2013
</t>
        </r>
      </text>
    </comment>
    <comment ref="J98" authorId="0">
      <text>
        <r>
          <rPr>
            <b/>
            <sz val="12"/>
            <color indexed="10"/>
            <rFont val="Tahoma"/>
            <family val="2"/>
          </rPr>
          <t>Closing share price as at August 7, 2013</t>
        </r>
      </text>
    </comment>
    <comment ref="K98" authorId="0">
      <text>
        <r>
          <rPr>
            <b/>
            <sz val="12"/>
            <color indexed="10"/>
            <rFont val="Tahoma"/>
            <family val="2"/>
          </rPr>
          <t>Closing share price as at November 4, 2013</t>
        </r>
      </text>
    </comment>
    <comment ref="L98" authorId="0">
      <text>
        <r>
          <rPr>
            <b/>
            <sz val="12"/>
            <color indexed="10"/>
            <rFont val="Tahoma"/>
            <family val="2"/>
          </rPr>
          <t>Closing share price as at February 19, 2014</t>
        </r>
      </text>
    </comment>
    <comment ref="K103" authorId="0">
      <text>
        <r>
          <rPr>
            <b/>
            <sz val="12"/>
            <color indexed="10"/>
            <rFont val="Tahoma"/>
            <family val="2"/>
          </rPr>
          <t>Q3 News Release</t>
        </r>
        <r>
          <rPr>
            <sz val="9"/>
            <color indexed="81"/>
            <rFont val="Tahoma"/>
            <family val="2"/>
          </rPr>
          <t xml:space="preserve">
</t>
        </r>
      </text>
    </comment>
    <comment ref="K104" authorId="0">
      <text>
        <r>
          <rPr>
            <b/>
            <sz val="12"/>
            <color indexed="10"/>
            <rFont val="Tahoma"/>
            <family val="2"/>
          </rPr>
          <t>Q3 News Release</t>
        </r>
        <r>
          <rPr>
            <sz val="9"/>
            <color indexed="81"/>
            <rFont val="Tahoma"/>
            <family val="2"/>
          </rPr>
          <t xml:space="preserve">
</t>
        </r>
      </text>
    </comment>
    <comment ref="L108" authorId="0">
      <text>
        <r>
          <rPr>
            <b/>
            <sz val="12"/>
            <color indexed="10"/>
            <rFont val="Tahoma"/>
            <family val="2"/>
          </rPr>
          <t xml:space="preserve">2013 FCF = $9.81
</t>
        </r>
      </text>
    </comment>
  </commentList>
</comments>
</file>

<file path=xl/comments2.xml><?xml version="1.0" encoding="utf-8"?>
<comments xmlns="http://schemas.openxmlformats.org/spreadsheetml/2006/main">
  <authors>
    <author>Vic</author>
  </authors>
  <commentList>
    <comment ref="E17" authorId="0">
      <text>
        <r>
          <rPr>
            <b/>
            <sz val="12"/>
            <color indexed="10"/>
            <rFont val="Tahoma"/>
            <family val="2"/>
          </rPr>
          <t>Lespac sold in Nov
Canpages closed early Feb 2012 may account for revenue drop</t>
        </r>
        <r>
          <rPr>
            <sz val="9"/>
            <color indexed="81"/>
            <rFont val="Tahoma"/>
            <family val="2"/>
          </rPr>
          <t xml:space="preserve">
</t>
        </r>
      </text>
    </comment>
    <comment ref="E30" authorId="0">
      <text>
        <r>
          <rPr>
            <b/>
            <sz val="9"/>
            <color indexed="10"/>
            <rFont val="Tahoma"/>
            <family val="2"/>
          </rPr>
          <t>Interest on RT draw-down of $239 million on Feb 9th</t>
        </r>
        <r>
          <rPr>
            <sz val="9"/>
            <color indexed="10"/>
            <rFont val="Tahoma"/>
            <family val="2"/>
          </rPr>
          <t xml:space="preserve">
</t>
        </r>
      </text>
    </comment>
    <comment ref="I35" authorId="0">
      <text>
        <r>
          <rPr>
            <b/>
            <sz val="12"/>
            <color indexed="10"/>
            <rFont val="Tahoma"/>
            <family val="2"/>
          </rPr>
          <t>Statement of Cash Flows:
Total interest paid = $13,978</t>
        </r>
      </text>
    </comment>
    <comment ref="B36" authorId="0">
      <text>
        <r>
          <rPr>
            <b/>
            <sz val="12"/>
            <color indexed="10"/>
            <rFont val="Tahoma"/>
            <family val="2"/>
          </rPr>
          <t xml:space="preserve">Semi-annual interest payments in May and November
</t>
        </r>
      </text>
    </comment>
    <comment ref="E38" authorId="0">
      <text>
        <r>
          <rPr>
            <b/>
            <sz val="12"/>
            <color indexed="10"/>
            <rFont val="Tahoma"/>
            <family val="2"/>
          </rPr>
          <t>Deferred consideration/other</t>
        </r>
        <r>
          <rPr>
            <sz val="9"/>
            <color indexed="81"/>
            <rFont val="Tahoma"/>
            <family val="2"/>
          </rPr>
          <t xml:space="preserve">
</t>
        </r>
      </text>
    </comment>
    <comment ref="I38" authorId="0">
      <text>
        <r>
          <rPr>
            <b/>
            <sz val="12"/>
            <color indexed="10"/>
            <rFont val="Tahoma"/>
            <family val="2"/>
          </rPr>
          <t>Statement of Cash flows:
Deferred Consideration = $5,624
Repayment of long term debt = $141</t>
        </r>
      </text>
    </comment>
    <comment ref="E40" authorId="0">
      <text>
        <r>
          <rPr>
            <b/>
            <sz val="12"/>
            <color indexed="10"/>
            <rFont val="Tahoma"/>
            <family val="2"/>
          </rPr>
          <t>2012 taxes = $125E</t>
        </r>
        <r>
          <rPr>
            <b/>
            <sz val="9"/>
            <color indexed="81"/>
            <rFont val="Tahoma"/>
            <family val="2"/>
          </rPr>
          <t xml:space="preserve">
</t>
        </r>
      </text>
    </comment>
    <comment ref="B43" authorId="0">
      <text>
        <r>
          <rPr>
            <b/>
            <sz val="9"/>
            <color indexed="81"/>
            <rFont val="Tahoma"/>
            <family val="2"/>
          </rPr>
          <t>Consolidated stmt of Cash Flows</t>
        </r>
        <r>
          <rPr>
            <sz val="9"/>
            <color indexed="81"/>
            <rFont val="Tahoma"/>
            <family val="2"/>
          </rPr>
          <t xml:space="preserve">
</t>
        </r>
      </text>
    </comment>
    <comment ref="I43" authorId="0">
      <text>
        <r>
          <rPr>
            <b/>
            <sz val="12"/>
            <color indexed="10"/>
            <rFont val="Tahoma"/>
            <family val="2"/>
          </rPr>
          <t>Statement of Cash Flows:
Post employment benefits in excess of cost = $1,791</t>
        </r>
      </text>
    </comment>
    <comment ref="E44" authorId="0">
      <text>
        <r>
          <rPr>
            <b/>
            <sz val="10"/>
            <color indexed="10"/>
            <rFont val="Tahoma"/>
            <family val="2"/>
          </rPr>
          <t>Adjusted from $42.7 for unidentified items.</t>
        </r>
      </text>
    </comment>
    <comment ref="I44" authorId="0">
      <text>
        <r>
          <rPr>
            <b/>
            <sz val="12"/>
            <color indexed="10"/>
            <rFont val="Tahoma"/>
            <family val="2"/>
          </rPr>
          <t>Statement of Cash Flows:
Change in operating assets/liabilities = $12,200 +</t>
        </r>
      </text>
    </comment>
    <comment ref="H48" authorId="0">
      <text>
        <r>
          <rPr>
            <b/>
            <sz val="16"/>
            <color indexed="10"/>
            <rFont val="Tahoma"/>
            <family val="2"/>
          </rPr>
          <t>Total Recap fees
$63 MM total</t>
        </r>
        <r>
          <rPr>
            <sz val="9"/>
            <color indexed="81"/>
            <rFont val="Tahoma"/>
            <family val="2"/>
          </rPr>
          <t xml:space="preserve">
</t>
        </r>
      </text>
    </comment>
    <comment ref="I51" authorId="0">
      <text>
        <r>
          <rPr>
            <b/>
            <sz val="12"/>
            <color indexed="10"/>
            <rFont val="Tahoma"/>
            <family val="2"/>
          </rPr>
          <t xml:space="preserve">Variance  due sales tax assessment
pg 9 of MD&amp;A </t>
        </r>
      </text>
    </comment>
    <comment ref="H56" authorId="0">
      <text>
        <r>
          <rPr>
            <b/>
            <sz val="14"/>
            <color indexed="10"/>
            <rFont val="Tahoma"/>
            <family val="2"/>
          </rPr>
          <t>Cash to lenders and MTN's</t>
        </r>
        <r>
          <rPr>
            <sz val="9"/>
            <color indexed="81"/>
            <rFont val="Tahoma"/>
            <family val="2"/>
          </rPr>
          <t xml:space="preserve">
</t>
        </r>
      </text>
    </comment>
    <comment ref="D57" authorId="0">
      <text>
        <r>
          <rPr>
            <b/>
            <sz val="12"/>
            <color indexed="10"/>
            <rFont val="Tahoma"/>
            <family val="2"/>
          </rPr>
          <t>Lespac sale</t>
        </r>
        <r>
          <rPr>
            <sz val="9"/>
            <color indexed="81"/>
            <rFont val="Tahoma"/>
            <family val="2"/>
          </rPr>
          <t xml:space="preserve">
</t>
        </r>
      </text>
    </comment>
    <comment ref="H60" authorId="0">
      <text>
        <r>
          <rPr>
            <b/>
            <sz val="12"/>
            <color indexed="10"/>
            <rFont val="Tahoma"/>
            <family val="2"/>
          </rPr>
          <t xml:space="preserve">Debt that has been reduced excluding convertible preferred shares
</t>
        </r>
      </text>
    </comment>
    <comment ref="D65" authorId="0">
      <text>
        <r>
          <rPr>
            <b/>
            <sz val="9"/>
            <color indexed="81"/>
            <rFont val="Tahoma"/>
            <family val="2"/>
          </rPr>
          <t xml:space="preserve">Cleared per IR </t>
        </r>
        <r>
          <rPr>
            <sz val="9"/>
            <color indexed="81"/>
            <rFont val="Tahoma"/>
            <family val="2"/>
          </rPr>
          <t xml:space="preserve">
</t>
        </r>
      </text>
    </comment>
    <comment ref="E65" authorId="0">
      <text>
        <r>
          <rPr>
            <b/>
            <sz val="12"/>
            <color indexed="10"/>
            <rFont val="Tahoma"/>
            <family val="2"/>
          </rPr>
          <t xml:space="preserve">Jan 1. 2012 installment </t>
        </r>
        <r>
          <rPr>
            <sz val="9"/>
            <color indexed="81"/>
            <rFont val="Tahoma"/>
            <family val="2"/>
          </rPr>
          <t xml:space="preserve">
</t>
        </r>
      </text>
    </comment>
    <comment ref="F65" authorId="0">
      <text>
        <r>
          <rPr>
            <b/>
            <sz val="14"/>
            <color indexed="10"/>
            <rFont val="Tahoma"/>
            <family val="2"/>
          </rPr>
          <t>March 1, 2012 installment</t>
        </r>
      </text>
    </comment>
    <comment ref="G65" authorId="0">
      <text>
        <r>
          <rPr>
            <b/>
            <sz val="14"/>
            <color indexed="10"/>
            <rFont val="Tahoma"/>
            <family val="2"/>
          </rPr>
          <t>June 1, 2012 installment</t>
        </r>
      </text>
    </comment>
    <comment ref="H65" authorId="0">
      <text>
        <r>
          <rPr>
            <b/>
            <sz val="16"/>
            <color indexed="10"/>
            <rFont val="Tahoma"/>
            <family val="2"/>
          </rPr>
          <t>Oct 1, 2012 payment of $25 million
plus additional $25 million payment
balance of $80 million "recapped"</t>
        </r>
      </text>
    </comment>
    <comment ref="E66" authorId="0">
      <text>
        <r>
          <rPr>
            <b/>
            <sz val="12"/>
            <color indexed="10"/>
            <rFont val="Tahoma"/>
            <family val="2"/>
          </rPr>
          <t>Drawdown of LOC  per 4Q-2011 supplemtals</t>
        </r>
        <r>
          <rPr>
            <sz val="9"/>
            <color indexed="81"/>
            <rFont val="Tahoma"/>
            <family val="2"/>
          </rPr>
          <t xml:space="preserve">
</t>
        </r>
      </text>
    </comment>
    <comment ref="D67" authorId="0">
      <text>
        <r>
          <rPr>
            <b/>
            <sz val="9"/>
            <color indexed="81"/>
            <rFont val="Tahoma"/>
            <family val="2"/>
          </rPr>
          <t>Cleared per IR</t>
        </r>
        <r>
          <rPr>
            <sz val="9"/>
            <color indexed="81"/>
            <rFont val="Tahoma"/>
            <family val="2"/>
          </rPr>
          <t xml:space="preserve">
</t>
        </r>
      </text>
    </comment>
    <comment ref="J71" authorId="0">
      <text>
        <r>
          <rPr>
            <b/>
            <sz val="12"/>
            <color indexed="10"/>
            <rFont val="Tahoma"/>
            <family val="2"/>
          </rPr>
          <t xml:space="preserve">Conference call details:
2013 - $100 MM
2014 - $  75 MM
</t>
        </r>
      </text>
    </comment>
    <comment ref="K71" authorId="0">
      <text>
        <r>
          <rPr>
            <b/>
            <sz val="12"/>
            <color indexed="10"/>
            <rFont val="Tahoma"/>
            <family val="2"/>
          </rPr>
          <t>Open-market acquisition on 
September 25th</t>
        </r>
      </text>
    </comment>
    <comment ref="L71" authorId="0">
      <text>
        <r>
          <rPr>
            <b/>
            <sz val="12"/>
            <color indexed="10"/>
            <rFont val="Tahoma"/>
            <family val="2"/>
          </rPr>
          <t>Optional Redemption     - $27.0 MM
Mandatory Redemption - $92.3 MM
Source: Q3-MD&amp;A</t>
        </r>
        <r>
          <rPr>
            <sz val="9"/>
            <color indexed="81"/>
            <rFont val="Tahoma"/>
            <family val="2"/>
          </rPr>
          <t xml:space="preserve">
</t>
        </r>
      </text>
    </comment>
    <comment ref="D92" authorId="0">
      <text>
        <r>
          <rPr>
            <b/>
            <sz val="14"/>
            <color indexed="10"/>
            <rFont val="Tahoma"/>
            <family val="2"/>
          </rPr>
          <t>EBITDA less Depreciation and Amortization, ignoring special items such as impairment charges, restructuring charges, and gains on settlement of debt.  These are usually one-time adjustments (noise).</t>
        </r>
        <r>
          <rPr>
            <b/>
            <sz val="14"/>
            <color indexed="81"/>
            <rFont val="Tahoma"/>
            <family val="2"/>
          </rPr>
          <t xml:space="preserve">
</t>
        </r>
      </text>
    </comment>
    <comment ref="H92" authorId="0">
      <text>
        <r>
          <rPr>
            <b/>
            <sz val="12"/>
            <color indexed="10"/>
            <rFont val="Tahoma"/>
            <family val="2"/>
          </rPr>
          <t>EBITDA    -  Dep/ Amort = Adjusted earnings from Ops 
 $ 141.6    -         23.4       =    $118.2  million</t>
        </r>
        <r>
          <rPr>
            <sz val="9"/>
            <color indexed="81"/>
            <rFont val="Tahoma"/>
            <family val="2"/>
          </rPr>
          <t xml:space="preserve">
</t>
        </r>
      </text>
    </comment>
    <comment ref="I92" authorId="0">
      <text>
        <r>
          <rPr>
            <b/>
            <sz val="12"/>
            <color indexed="10"/>
            <rFont val="Tahoma"/>
            <family val="2"/>
          </rPr>
          <t>EBITDA    -  Dep/ Amort = Adjusted earnings from Ops 
 $ 115.5    -        $ 13.7       =    $ 101.8  million</t>
        </r>
      </text>
    </comment>
    <comment ref="J92" authorId="0">
      <text>
        <r>
          <rPr>
            <b/>
            <sz val="12"/>
            <color indexed="10"/>
            <rFont val="Tahoma"/>
            <family val="2"/>
          </rPr>
          <t>EBITDA    -  Dep/ Amort = Adjusted earnings from Ops 
 $ 107.2    -        $ 14.8       =    $ 92.4  million</t>
        </r>
      </text>
    </comment>
    <comment ref="K92" authorId="0">
      <text>
        <r>
          <rPr>
            <b/>
            <sz val="12"/>
            <color indexed="10"/>
            <rFont val="Tahoma"/>
            <family val="2"/>
          </rPr>
          <t>EBITDA    -  Dep/ Amort = Adjusted earnings from Ops 
 $ 102.1    -        $ 11.0       =    $ 91.1  million</t>
        </r>
      </text>
    </comment>
    <comment ref="I98" authorId="0">
      <text>
        <r>
          <rPr>
            <b/>
            <sz val="12"/>
            <color indexed="10"/>
            <rFont val="Tahoma"/>
            <family val="2"/>
          </rPr>
          <t xml:space="preserve">Closing share price as at May 21, 2013
</t>
        </r>
      </text>
    </comment>
    <comment ref="J98" authorId="0">
      <text>
        <r>
          <rPr>
            <b/>
            <sz val="12"/>
            <color indexed="10"/>
            <rFont val="Tahoma"/>
            <family val="2"/>
          </rPr>
          <t>Closing share price as at August 7, 2013</t>
        </r>
      </text>
    </comment>
    <comment ref="K98" authorId="0">
      <text>
        <r>
          <rPr>
            <b/>
            <sz val="12"/>
            <color indexed="10"/>
            <rFont val="Tahoma"/>
            <family val="2"/>
          </rPr>
          <t>Closing share price as at November 4, 2013</t>
        </r>
      </text>
    </comment>
    <comment ref="K103" authorId="0">
      <text>
        <r>
          <rPr>
            <b/>
            <sz val="12"/>
            <color indexed="10"/>
            <rFont val="Tahoma"/>
            <family val="2"/>
          </rPr>
          <t>Q3 News Release</t>
        </r>
        <r>
          <rPr>
            <sz val="9"/>
            <color indexed="81"/>
            <rFont val="Tahoma"/>
            <family val="2"/>
          </rPr>
          <t xml:space="preserve">
</t>
        </r>
      </text>
    </comment>
    <comment ref="K104" authorId="0">
      <text>
        <r>
          <rPr>
            <b/>
            <sz val="12"/>
            <color indexed="10"/>
            <rFont val="Tahoma"/>
            <family val="2"/>
          </rPr>
          <t>Q3 News Release</t>
        </r>
        <r>
          <rPr>
            <sz val="9"/>
            <color indexed="81"/>
            <rFont val="Tahoma"/>
            <family val="2"/>
          </rPr>
          <t xml:space="preserve">
</t>
        </r>
      </text>
    </comment>
  </commentList>
</comments>
</file>

<file path=xl/comments3.xml><?xml version="1.0" encoding="utf-8"?>
<comments xmlns="http://schemas.openxmlformats.org/spreadsheetml/2006/main">
  <authors>
    <author>Vic</author>
  </authors>
  <commentList>
    <comment ref="E17" authorId="0">
      <text>
        <r>
          <rPr>
            <b/>
            <sz val="12"/>
            <color indexed="10"/>
            <rFont val="Tahoma"/>
            <family val="2"/>
          </rPr>
          <t>Lespac sold in Nov
Canpages closed early Feb 2012 may account for revenue drop</t>
        </r>
        <r>
          <rPr>
            <sz val="9"/>
            <color indexed="81"/>
            <rFont val="Tahoma"/>
            <family val="2"/>
          </rPr>
          <t xml:space="preserve">
</t>
        </r>
      </text>
    </comment>
    <comment ref="E30" authorId="0">
      <text>
        <r>
          <rPr>
            <b/>
            <sz val="9"/>
            <color indexed="10"/>
            <rFont val="Tahoma"/>
            <family val="2"/>
          </rPr>
          <t>Interest on RT draw-down of $239 million on Feb 9th</t>
        </r>
        <r>
          <rPr>
            <sz val="9"/>
            <color indexed="10"/>
            <rFont val="Tahoma"/>
            <family val="2"/>
          </rPr>
          <t xml:space="preserve">
</t>
        </r>
      </text>
    </comment>
    <comment ref="I35" authorId="0">
      <text>
        <r>
          <rPr>
            <b/>
            <sz val="12"/>
            <color indexed="10"/>
            <rFont val="Tahoma"/>
            <family val="2"/>
          </rPr>
          <t>Statement of Cash Flows:
Total interest paid = $13,978</t>
        </r>
      </text>
    </comment>
    <comment ref="B36" authorId="0">
      <text>
        <r>
          <rPr>
            <b/>
            <sz val="12"/>
            <color indexed="10"/>
            <rFont val="Tahoma"/>
            <family val="2"/>
          </rPr>
          <t xml:space="preserve">Semi-annual interest payments in May and November
</t>
        </r>
      </text>
    </comment>
    <comment ref="E38" authorId="0">
      <text>
        <r>
          <rPr>
            <b/>
            <sz val="12"/>
            <color indexed="10"/>
            <rFont val="Tahoma"/>
            <family val="2"/>
          </rPr>
          <t>Deferred consideration/other</t>
        </r>
        <r>
          <rPr>
            <sz val="9"/>
            <color indexed="81"/>
            <rFont val="Tahoma"/>
            <family val="2"/>
          </rPr>
          <t xml:space="preserve">
</t>
        </r>
      </text>
    </comment>
    <comment ref="I38" authorId="0">
      <text>
        <r>
          <rPr>
            <b/>
            <sz val="12"/>
            <color indexed="10"/>
            <rFont val="Tahoma"/>
            <family val="2"/>
          </rPr>
          <t>Statement of Cash flows:
Deferred Consideration = $5,624
Repayment of long term debt = $141</t>
        </r>
      </text>
    </comment>
    <comment ref="E40" authorId="0">
      <text>
        <r>
          <rPr>
            <b/>
            <sz val="12"/>
            <color indexed="10"/>
            <rFont val="Tahoma"/>
            <family val="2"/>
          </rPr>
          <t>2012 taxes = $125E</t>
        </r>
        <r>
          <rPr>
            <b/>
            <sz val="9"/>
            <color indexed="81"/>
            <rFont val="Tahoma"/>
            <family val="2"/>
          </rPr>
          <t xml:space="preserve">
</t>
        </r>
      </text>
    </comment>
    <comment ref="B43" authorId="0">
      <text>
        <r>
          <rPr>
            <b/>
            <sz val="9"/>
            <color indexed="81"/>
            <rFont val="Tahoma"/>
            <family val="2"/>
          </rPr>
          <t>Consolidated stmt of Cash Flows</t>
        </r>
        <r>
          <rPr>
            <sz val="9"/>
            <color indexed="81"/>
            <rFont val="Tahoma"/>
            <family val="2"/>
          </rPr>
          <t xml:space="preserve">
</t>
        </r>
      </text>
    </comment>
    <comment ref="I43" authorId="0">
      <text>
        <r>
          <rPr>
            <b/>
            <sz val="12"/>
            <color indexed="10"/>
            <rFont val="Tahoma"/>
            <family val="2"/>
          </rPr>
          <t>Statement of Cash Flows:
Post employment benefits in excess of cost = $1,791</t>
        </r>
      </text>
    </comment>
    <comment ref="E44" authorId="0">
      <text>
        <r>
          <rPr>
            <b/>
            <sz val="10"/>
            <color indexed="10"/>
            <rFont val="Tahoma"/>
            <family val="2"/>
          </rPr>
          <t>Adjusted from $42.7 for unidentified items.</t>
        </r>
      </text>
    </comment>
    <comment ref="I44" authorId="0">
      <text>
        <r>
          <rPr>
            <b/>
            <sz val="12"/>
            <color indexed="10"/>
            <rFont val="Tahoma"/>
            <family val="2"/>
          </rPr>
          <t>Statement of Cash Flows:
Change in operating assets/liabilities = $12,200 +</t>
        </r>
      </text>
    </comment>
    <comment ref="H48" authorId="0">
      <text>
        <r>
          <rPr>
            <b/>
            <sz val="16"/>
            <color indexed="10"/>
            <rFont val="Tahoma"/>
            <family val="2"/>
          </rPr>
          <t>Total Recap fees
$63 MM total</t>
        </r>
        <r>
          <rPr>
            <sz val="9"/>
            <color indexed="81"/>
            <rFont val="Tahoma"/>
            <family val="2"/>
          </rPr>
          <t xml:space="preserve">
</t>
        </r>
      </text>
    </comment>
    <comment ref="I51" authorId="0">
      <text>
        <r>
          <rPr>
            <b/>
            <sz val="12"/>
            <color indexed="10"/>
            <rFont val="Tahoma"/>
            <family val="2"/>
          </rPr>
          <t xml:space="preserve">Variance  due sales tax assessment
pg 9 of MD&amp;A </t>
        </r>
      </text>
    </comment>
    <comment ref="H56" authorId="0">
      <text>
        <r>
          <rPr>
            <b/>
            <sz val="14"/>
            <color indexed="10"/>
            <rFont val="Tahoma"/>
            <family val="2"/>
          </rPr>
          <t>Cash to lenders and MTN's</t>
        </r>
        <r>
          <rPr>
            <sz val="9"/>
            <color indexed="81"/>
            <rFont val="Tahoma"/>
            <family val="2"/>
          </rPr>
          <t xml:space="preserve">
</t>
        </r>
      </text>
    </comment>
    <comment ref="D57" authorId="0">
      <text>
        <r>
          <rPr>
            <b/>
            <sz val="12"/>
            <color indexed="10"/>
            <rFont val="Tahoma"/>
            <family val="2"/>
          </rPr>
          <t>Lespac sale</t>
        </r>
        <r>
          <rPr>
            <sz val="9"/>
            <color indexed="81"/>
            <rFont val="Tahoma"/>
            <family val="2"/>
          </rPr>
          <t xml:space="preserve">
</t>
        </r>
      </text>
    </comment>
    <comment ref="H60" authorId="0">
      <text>
        <r>
          <rPr>
            <b/>
            <sz val="12"/>
            <color indexed="10"/>
            <rFont val="Tahoma"/>
            <family val="2"/>
          </rPr>
          <t xml:space="preserve">Debt that has been reduced excluding convertible preferred shares
</t>
        </r>
      </text>
    </comment>
    <comment ref="D65" authorId="0">
      <text>
        <r>
          <rPr>
            <b/>
            <sz val="9"/>
            <color indexed="81"/>
            <rFont val="Tahoma"/>
            <family val="2"/>
          </rPr>
          <t xml:space="preserve">Cleared per IR </t>
        </r>
        <r>
          <rPr>
            <sz val="9"/>
            <color indexed="81"/>
            <rFont val="Tahoma"/>
            <family val="2"/>
          </rPr>
          <t xml:space="preserve">
</t>
        </r>
      </text>
    </comment>
    <comment ref="E65" authorId="0">
      <text>
        <r>
          <rPr>
            <b/>
            <sz val="12"/>
            <color indexed="10"/>
            <rFont val="Tahoma"/>
            <family val="2"/>
          </rPr>
          <t xml:space="preserve">Jan 1. 2012 installment </t>
        </r>
        <r>
          <rPr>
            <sz val="9"/>
            <color indexed="81"/>
            <rFont val="Tahoma"/>
            <family val="2"/>
          </rPr>
          <t xml:space="preserve">
</t>
        </r>
      </text>
    </comment>
    <comment ref="F65" authorId="0">
      <text>
        <r>
          <rPr>
            <b/>
            <sz val="14"/>
            <color indexed="10"/>
            <rFont val="Tahoma"/>
            <family val="2"/>
          </rPr>
          <t>March 1, 2012 installment</t>
        </r>
      </text>
    </comment>
    <comment ref="G65" authorId="0">
      <text>
        <r>
          <rPr>
            <b/>
            <sz val="14"/>
            <color indexed="10"/>
            <rFont val="Tahoma"/>
            <family val="2"/>
          </rPr>
          <t>June 1, 2012 installment</t>
        </r>
      </text>
    </comment>
    <comment ref="H65" authorId="0">
      <text>
        <r>
          <rPr>
            <b/>
            <sz val="16"/>
            <color indexed="10"/>
            <rFont val="Tahoma"/>
            <family val="2"/>
          </rPr>
          <t>Oct 1, 2012 payment of $25 million
plus additional $25 million payment
balance of $80 million "recapped"</t>
        </r>
      </text>
    </comment>
    <comment ref="E66" authorId="0">
      <text>
        <r>
          <rPr>
            <b/>
            <sz val="12"/>
            <color indexed="10"/>
            <rFont val="Tahoma"/>
            <family val="2"/>
          </rPr>
          <t>Drawdown of LOC  per 4Q-2011 supplemtals</t>
        </r>
        <r>
          <rPr>
            <sz val="9"/>
            <color indexed="81"/>
            <rFont val="Tahoma"/>
            <family val="2"/>
          </rPr>
          <t xml:space="preserve">
</t>
        </r>
      </text>
    </comment>
    <comment ref="D67" authorId="0">
      <text>
        <r>
          <rPr>
            <b/>
            <sz val="9"/>
            <color indexed="81"/>
            <rFont val="Tahoma"/>
            <family val="2"/>
          </rPr>
          <t>Cleared per IR</t>
        </r>
        <r>
          <rPr>
            <sz val="9"/>
            <color indexed="81"/>
            <rFont val="Tahoma"/>
            <family val="2"/>
          </rPr>
          <t xml:space="preserve">
</t>
        </r>
      </text>
    </comment>
    <comment ref="J71" authorId="0">
      <text>
        <r>
          <rPr>
            <b/>
            <sz val="12"/>
            <color indexed="10"/>
            <rFont val="Tahoma"/>
            <family val="2"/>
          </rPr>
          <t xml:space="preserve">Conference call details:
2013 - $100 MM
2014 - $  75 MM
</t>
        </r>
      </text>
    </comment>
    <comment ref="K71" authorId="0">
      <text>
        <r>
          <rPr>
            <b/>
            <sz val="12"/>
            <color indexed="10"/>
            <rFont val="Tahoma"/>
            <family val="2"/>
          </rPr>
          <t>Open-market acquisition on 
September 25th</t>
        </r>
      </text>
    </comment>
    <comment ref="L71" authorId="0">
      <text>
        <r>
          <rPr>
            <b/>
            <sz val="12"/>
            <color indexed="10"/>
            <rFont val="Tahoma"/>
            <family val="2"/>
          </rPr>
          <t>Optional Redemption     - $27.0 MM
Mandatory Redemption - $92.3 MM
Source: Q3-MD&amp;A</t>
        </r>
        <r>
          <rPr>
            <sz val="9"/>
            <color indexed="81"/>
            <rFont val="Tahoma"/>
            <family val="2"/>
          </rPr>
          <t xml:space="preserve">
</t>
        </r>
      </text>
    </comment>
    <comment ref="D92" authorId="0">
      <text>
        <r>
          <rPr>
            <b/>
            <sz val="14"/>
            <color indexed="10"/>
            <rFont val="Tahoma"/>
            <family val="2"/>
          </rPr>
          <t>EBITDA less Depreciation and Amortization, ignoring special items such as impairment charges, restructuring charges, and gains on settlement of debt.  These are usually one-time adjustments (noise).</t>
        </r>
        <r>
          <rPr>
            <b/>
            <sz val="14"/>
            <color indexed="81"/>
            <rFont val="Tahoma"/>
            <family val="2"/>
          </rPr>
          <t xml:space="preserve">
</t>
        </r>
      </text>
    </comment>
    <comment ref="H92" authorId="0">
      <text>
        <r>
          <rPr>
            <b/>
            <sz val="12"/>
            <color indexed="10"/>
            <rFont val="Tahoma"/>
            <family val="2"/>
          </rPr>
          <t>EBITDA    -  Dep/ Amort = Adjusted earnings from Ops 
 $ 141.6    -         23.4       =    $118.2  million</t>
        </r>
        <r>
          <rPr>
            <sz val="9"/>
            <color indexed="81"/>
            <rFont val="Tahoma"/>
            <family val="2"/>
          </rPr>
          <t xml:space="preserve">
</t>
        </r>
      </text>
    </comment>
    <comment ref="I92" authorId="0">
      <text>
        <r>
          <rPr>
            <b/>
            <sz val="12"/>
            <color indexed="10"/>
            <rFont val="Tahoma"/>
            <family val="2"/>
          </rPr>
          <t>EBITDA    -  Dep/ Amort = Adjusted earnings from Ops 
 $ 115.5    -        $ 13.7       =    $ 101.8  million</t>
        </r>
      </text>
    </comment>
    <comment ref="J92" authorId="0">
      <text>
        <r>
          <rPr>
            <b/>
            <sz val="12"/>
            <color indexed="10"/>
            <rFont val="Tahoma"/>
            <family val="2"/>
          </rPr>
          <t>EBITDA    -  Dep/ Amort = Adjusted earnings from Ops 
 $ 107.2    -        $ 14.8       =    $ 92.4  million</t>
        </r>
      </text>
    </comment>
    <comment ref="K92" authorId="0">
      <text>
        <r>
          <rPr>
            <b/>
            <sz val="12"/>
            <color indexed="10"/>
            <rFont val="Tahoma"/>
            <family val="2"/>
          </rPr>
          <t>EBITDA    -  Dep/ Amort = Adjusted earnings from Ops 
 $ 102.1    -        $ 11.0       =    $ 91.1  million</t>
        </r>
      </text>
    </comment>
    <comment ref="I98" authorId="0">
      <text>
        <r>
          <rPr>
            <b/>
            <sz val="12"/>
            <color indexed="10"/>
            <rFont val="Tahoma"/>
            <family val="2"/>
          </rPr>
          <t xml:space="preserve">Closing share price as at May 21, 2013
</t>
        </r>
      </text>
    </comment>
    <comment ref="J98" authorId="0">
      <text>
        <r>
          <rPr>
            <b/>
            <sz val="12"/>
            <color indexed="10"/>
            <rFont val="Tahoma"/>
            <family val="2"/>
          </rPr>
          <t>Closing share price as at August 7, 2013</t>
        </r>
      </text>
    </comment>
    <comment ref="K98" authorId="0">
      <text>
        <r>
          <rPr>
            <b/>
            <sz val="12"/>
            <color indexed="10"/>
            <rFont val="Tahoma"/>
            <family val="2"/>
          </rPr>
          <t>Closing share price as at November 4, 2013</t>
        </r>
      </text>
    </comment>
    <comment ref="K103" authorId="0">
      <text>
        <r>
          <rPr>
            <b/>
            <sz val="12"/>
            <color indexed="10"/>
            <rFont val="Tahoma"/>
            <family val="2"/>
          </rPr>
          <t>Q3 News Release</t>
        </r>
        <r>
          <rPr>
            <sz val="9"/>
            <color indexed="81"/>
            <rFont val="Tahoma"/>
            <family val="2"/>
          </rPr>
          <t xml:space="preserve">
</t>
        </r>
      </text>
    </comment>
    <comment ref="K104" authorId="0">
      <text>
        <r>
          <rPr>
            <b/>
            <sz val="12"/>
            <color indexed="10"/>
            <rFont val="Tahoma"/>
            <family val="2"/>
          </rPr>
          <t>Q3 News Release</t>
        </r>
        <r>
          <rPr>
            <sz val="9"/>
            <color indexed="81"/>
            <rFont val="Tahoma"/>
            <family val="2"/>
          </rPr>
          <t xml:space="preserve">
</t>
        </r>
      </text>
    </comment>
  </commentList>
</comments>
</file>

<file path=xl/comments4.xml><?xml version="1.0" encoding="utf-8"?>
<comments xmlns="http://schemas.openxmlformats.org/spreadsheetml/2006/main">
  <authors>
    <author>Vic</author>
  </authors>
  <commentList>
    <comment ref="E17" authorId="0">
      <text>
        <r>
          <rPr>
            <b/>
            <sz val="12"/>
            <color indexed="10"/>
            <rFont val="Tahoma"/>
            <family val="2"/>
          </rPr>
          <t>Lespac sold in Nov
Canpages closed early Feb 2012 may account for revenue drop</t>
        </r>
        <r>
          <rPr>
            <sz val="9"/>
            <color indexed="81"/>
            <rFont val="Tahoma"/>
            <family val="2"/>
          </rPr>
          <t xml:space="preserve">
</t>
        </r>
      </text>
    </comment>
    <comment ref="E30" authorId="0">
      <text>
        <r>
          <rPr>
            <b/>
            <sz val="9"/>
            <color indexed="10"/>
            <rFont val="Tahoma"/>
            <family val="2"/>
          </rPr>
          <t>Interest on RT draw-down of $239 million on Feb 9th</t>
        </r>
        <r>
          <rPr>
            <sz val="9"/>
            <color indexed="10"/>
            <rFont val="Tahoma"/>
            <family val="2"/>
          </rPr>
          <t xml:space="preserve">
</t>
        </r>
      </text>
    </comment>
    <comment ref="I35" authorId="0">
      <text>
        <r>
          <rPr>
            <b/>
            <sz val="12"/>
            <color indexed="10"/>
            <rFont val="Tahoma"/>
            <family val="2"/>
          </rPr>
          <t>Statement of Cash Flows:
Total interest paid = $13,978</t>
        </r>
      </text>
    </comment>
    <comment ref="B36" authorId="0">
      <text>
        <r>
          <rPr>
            <b/>
            <sz val="12"/>
            <color indexed="10"/>
            <rFont val="Tahoma"/>
            <family val="2"/>
          </rPr>
          <t xml:space="preserve">Semi-annual interest payments in May and November
</t>
        </r>
      </text>
    </comment>
    <comment ref="E38" authorId="0">
      <text>
        <r>
          <rPr>
            <b/>
            <sz val="12"/>
            <color indexed="10"/>
            <rFont val="Tahoma"/>
            <family val="2"/>
          </rPr>
          <t>Deferred consideration/other</t>
        </r>
        <r>
          <rPr>
            <sz val="9"/>
            <color indexed="81"/>
            <rFont val="Tahoma"/>
            <family val="2"/>
          </rPr>
          <t xml:space="preserve">
</t>
        </r>
      </text>
    </comment>
    <comment ref="I38" authorId="0">
      <text>
        <r>
          <rPr>
            <b/>
            <sz val="12"/>
            <color indexed="10"/>
            <rFont val="Tahoma"/>
            <family val="2"/>
          </rPr>
          <t>Statement of Cash flows:
Deferred Consideration = $5,624
Repayment of long term debt = $141</t>
        </r>
      </text>
    </comment>
    <comment ref="E40" authorId="0">
      <text>
        <r>
          <rPr>
            <b/>
            <sz val="12"/>
            <color indexed="10"/>
            <rFont val="Tahoma"/>
            <family val="2"/>
          </rPr>
          <t>2012 taxes = $125E</t>
        </r>
        <r>
          <rPr>
            <b/>
            <sz val="9"/>
            <color indexed="81"/>
            <rFont val="Tahoma"/>
            <family val="2"/>
          </rPr>
          <t xml:space="preserve">
</t>
        </r>
      </text>
    </comment>
    <comment ref="B43" authorId="0">
      <text>
        <r>
          <rPr>
            <b/>
            <sz val="9"/>
            <color indexed="81"/>
            <rFont val="Tahoma"/>
            <family val="2"/>
          </rPr>
          <t>Consolidated stmt of Cash Flows</t>
        </r>
        <r>
          <rPr>
            <sz val="9"/>
            <color indexed="81"/>
            <rFont val="Tahoma"/>
            <family val="2"/>
          </rPr>
          <t xml:space="preserve">
</t>
        </r>
      </text>
    </comment>
    <comment ref="I43" authorId="0">
      <text>
        <r>
          <rPr>
            <b/>
            <sz val="12"/>
            <color indexed="10"/>
            <rFont val="Tahoma"/>
            <family val="2"/>
          </rPr>
          <t>Statement of Cash Flows:
Post employment benefits in excess of cost = $1,791</t>
        </r>
      </text>
    </comment>
    <comment ref="E44" authorId="0">
      <text>
        <r>
          <rPr>
            <b/>
            <sz val="10"/>
            <color indexed="10"/>
            <rFont val="Tahoma"/>
            <family val="2"/>
          </rPr>
          <t>Adjusted from $42.7 for unidentified items.</t>
        </r>
      </text>
    </comment>
    <comment ref="I44" authorId="0">
      <text>
        <r>
          <rPr>
            <b/>
            <sz val="12"/>
            <color indexed="10"/>
            <rFont val="Tahoma"/>
            <family val="2"/>
          </rPr>
          <t>Statement of Cash Flows:
Change in operating assets/liabilities = $12,200 +</t>
        </r>
      </text>
    </comment>
    <comment ref="H48" authorId="0">
      <text>
        <r>
          <rPr>
            <b/>
            <sz val="16"/>
            <color indexed="10"/>
            <rFont val="Tahoma"/>
            <family val="2"/>
          </rPr>
          <t>Total Recap fees
$63 MM total</t>
        </r>
        <r>
          <rPr>
            <sz val="9"/>
            <color indexed="81"/>
            <rFont val="Tahoma"/>
            <family val="2"/>
          </rPr>
          <t xml:space="preserve">
</t>
        </r>
      </text>
    </comment>
    <comment ref="I50" authorId="0">
      <text>
        <r>
          <rPr>
            <b/>
            <sz val="12"/>
            <color indexed="10"/>
            <rFont val="Tahoma"/>
            <family val="2"/>
          </rPr>
          <t xml:space="preserve">Variance  due sales tax assessment
pg 9 of MD&amp;A </t>
        </r>
      </text>
    </comment>
    <comment ref="H55" authorId="0">
      <text>
        <r>
          <rPr>
            <b/>
            <sz val="14"/>
            <color indexed="10"/>
            <rFont val="Tahoma"/>
            <family val="2"/>
          </rPr>
          <t>Cash to lenders and MTN's</t>
        </r>
        <r>
          <rPr>
            <sz val="9"/>
            <color indexed="81"/>
            <rFont val="Tahoma"/>
            <family val="2"/>
          </rPr>
          <t xml:space="preserve">
</t>
        </r>
      </text>
    </comment>
    <comment ref="D56" authorId="0">
      <text>
        <r>
          <rPr>
            <b/>
            <sz val="12"/>
            <color indexed="10"/>
            <rFont val="Tahoma"/>
            <family val="2"/>
          </rPr>
          <t>Lespac sale</t>
        </r>
        <r>
          <rPr>
            <sz val="9"/>
            <color indexed="81"/>
            <rFont val="Tahoma"/>
            <family val="2"/>
          </rPr>
          <t xml:space="preserve">
</t>
        </r>
      </text>
    </comment>
    <comment ref="H59" authorId="0">
      <text>
        <r>
          <rPr>
            <b/>
            <sz val="12"/>
            <color indexed="10"/>
            <rFont val="Tahoma"/>
            <family val="2"/>
          </rPr>
          <t xml:space="preserve">Debt that has been reduced excluding convertible preferred shares
</t>
        </r>
      </text>
    </comment>
    <comment ref="D64" authorId="0">
      <text>
        <r>
          <rPr>
            <b/>
            <sz val="9"/>
            <color indexed="81"/>
            <rFont val="Tahoma"/>
            <family val="2"/>
          </rPr>
          <t xml:space="preserve">Cleared per IR </t>
        </r>
        <r>
          <rPr>
            <sz val="9"/>
            <color indexed="81"/>
            <rFont val="Tahoma"/>
            <family val="2"/>
          </rPr>
          <t xml:space="preserve">
</t>
        </r>
      </text>
    </comment>
    <comment ref="E64" authorId="0">
      <text>
        <r>
          <rPr>
            <b/>
            <sz val="12"/>
            <color indexed="10"/>
            <rFont val="Tahoma"/>
            <family val="2"/>
          </rPr>
          <t xml:space="preserve">Jan 1. 2012 installment </t>
        </r>
        <r>
          <rPr>
            <sz val="9"/>
            <color indexed="81"/>
            <rFont val="Tahoma"/>
            <family val="2"/>
          </rPr>
          <t xml:space="preserve">
</t>
        </r>
      </text>
    </comment>
    <comment ref="F64" authorId="0">
      <text>
        <r>
          <rPr>
            <b/>
            <sz val="14"/>
            <color indexed="10"/>
            <rFont val="Tahoma"/>
            <family val="2"/>
          </rPr>
          <t>March 1, 2012 installment</t>
        </r>
      </text>
    </comment>
    <comment ref="G64" authorId="0">
      <text>
        <r>
          <rPr>
            <b/>
            <sz val="14"/>
            <color indexed="10"/>
            <rFont val="Tahoma"/>
            <family val="2"/>
          </rPr>
          <t>June 1, 2012 installment</t>
        </r>
      </text>
    </comment>
    <comment ref="H64" authorId="0">
      <text>
        <r>
          <rPr>
            <b/>
            <sz val="16"/>
            <color indexed="10"/>
            <rFont val="Tahoma"/>
            <family val="2"/>
          </rPr>
          <t>Oct 1, 2012 payment of $25 million
plus additional $25 million payment
balance of $80 million "recapped"</t>
        </r>
      </text>
    </comment>
    <comment ref="E65" authorId="0">
      <text>
        <r>
          <rPr>
            <b/>
            <sz val="12"/>
            <color indexed="10"/>
            <rFont val="Tahoma"/>
            <family val="2"/>
          </rPr>
          <t>Drawdown of LOC  per 4Q-2011 supplemtals</t>
        </r>
        <r>
          <rPr>
            <sz val="9"/>
            <color indexed="81"/>
            <rFont val="Tahoma"/>
            <family val="2"/>
          </rPr>
          <t xml:space="preserve">
</t>
        </r>
      </text>
    </comment>
    <comment ref="D66" authorId="0">
      <text>
        <r>
          <rPr>
            <b/>
            <sz val="9"/>
            <color indexed="81"/>
            <rFont val="Tahoma"/>
            <family val="2"/>
          </rPr>
          <t>Cleared per IR</t>
        </r>
        <r>
          <rPr>
            <sz val="9"/>
            <color indexed="81"/>
            <rFont val="Tahoma"/>
            <family val="2"/>
          </rPr>
          <t xml:space="preserve">
</t>
        </r>
      </text>
    </comment>
    <comment ref="J70" authorId="0">
      <text>
        <r>
          <rPr>
            <b/>
            <sz val="12"/>
            <color indexed="10"/>
            <rFont val="Tahoma"/>
            <family val="2"/>
          </rPr>
          <t xml:space="preserve">Conference call details:
2013 - $100 MM
2014 - $  75 MM
</t>
        </r>
      </text>
    </comment>
    <comment ref="D91" authorId="0">
      <text>
        <r>
          <rPr>
            <b/>
            <sz val="14"/>
            <color indexed="10"/>
            <rFont val="Tahoma"/>
            <family val="2"/>
          </rPr>
          <t>EBITDA less Depreciation and Amortization, ignoring special items such as impairment charges, restructuring charges, and gains on settlement of debt.  These are usually one-time adjustments (noise).</t>
        </r>
        <r>
          <rPr>
            <b/>
            <sz val="14"/>
            <color indexed="81"/>
            <rFont val="Tahoma"/>
            <family val="2"/>
          </rPr>
          <t xml:space="preserve">
</t>
        </r>
      </text>
    </comment>
    <comment ref="H91" authorId="0">
      <text>
        <r>
          <rPr>
            <b/>
            <sz val="12"/>
            <color indexed="10"/>
            <rFont val="Tahoma"/>
            <family val="2"/>
          </rPr>
          <t>EBITDA    -  Dep/ Amort = Adjusted earnings from Ops 
 $ 141.6    -         23.4       =    $118.2  million</t>
        </r>
        <r>
          <rPr>
            <sz val="9"/>
            <color indexed="81"/>
            <rFont val="Tahoma"/>
            <family val="2"/>
          </rPr>
          <t xml:space="preserve">
</t>
        </r>
      </text>
    </comment>
    <comment ref="I91" authorId="0">
      <text>
        <r>
          <rPr>
            <b/>
            <sz val="12"/>
            <color indexed="10"/>
            <rFont val="Tahoma"/>
            <family val="2"/>
          </rPr>
          <t>EBITDA    -  Dep/ Amort = Adjusted earnings from Ops 
 $ 115.5    -        $ 13.7       =    $ 101.8  million</t>
        </r>
      </text>
    </comment>
    <comment ref="J91" authorId="0">
      <text>
        <r>
          <rPr>
            <b/>
            <sz val="12"/>
            <color indexed="10"/>
            <rFont val="Tahoma"/>
            <family val="2"/>
          </rPr>
          <t>EBITDA    -  Dep/ Amort = Adjusted earnings from Ops 
 $ 107.2    -        $ 14.8       =    $ 92.4  million</t>
        </r>
      </text>
    </comment>
    <comment ref="I97" authorId="0">
      <text>
        <r>
          <rPr>
            <b/>
            <sz val="12"/>
            <color indexed="10"/>
            <rFont val="Tahoma"/>
            <family val="2"/>
          </rPr>
          <t xml:space="preserve">Closing share price as at May 21, 2013
</t>
        </r>
      </text>
    </comment>
    <comment ref="J97" authorId="0">
      <text>
        <r>
          <rPr>
            <b/>
            <sz val="12"/>
            <color indexed="10"/>
            <rFont val="Tahoma"/>
            <family val="2"/>
          </rPr>
          <t>Closing share price as at August 7, 2013</t>
        </r>
      </text>
    </comment>
  </commentList>
</comments>
</file>

<file path=xl/comments5.xml><?xml version="1.0" encoding="utf-8"?>
<comments xmlns="http://schemas.openxmlformats.org/spreadsheetml/2006/main">
  <authors>
    <author>Vic</author>
  </authors>
  <commentList>
    <comment ref="E17" authorId="0">
      <text>
        <r>
          <rPr>
            <b/>
            <sz val="12"/>
            <color indexed="10"/>
            <rFont val="Tahoma"/>
            <family val="2"/>
          </rPr>
          <t>Lespac sold in Nov
Canpages closed early Feb 2012 may account for revenue drop</t>
        </r>
        <r>
          <rPr>
            <sz val="9"/>
            <color indexed="81"/>
            <rFont val="Tahoma"/>
            <family val="2"/>
          </rPr>
          <t xml:space="preserve">
</t>
        </r>
      </text>
    </comment>
    <comment ref="E30" authorId="0">
      <text>
        <r>
          <rPr>
            <b/>
            <sz val="9"/>
            <color indexed="10"/>
            <rFont val="Tahoma"/>
            <family val="2"/>
          </rPr>
          <t>Interest on RT draw-down of $239 million on Feb 9th</t>
        </r>
        <r>
          <rPr>
            <sz val="9"/>
            <color indexed="10"/>
            <rFont val="Tahoma"/>
            <family val="2"/>
          </rPr>
          <t xml:space="preserve">
</t>
        </r>
      </text>
    </comment>
    <comment ref="I35" authorId="0">
      <text>
        <r>
          <rPr>
            <b/>
            <sz val="12"/>
            <color indexed="10"/>
            <rFont val="Tahoma"/>
            <family val="2"/>
          </rPr>
          <t>Statement of Cash Flows:
Total interest paid = $13,978</t>
        </r>
      </text>
    </comment>
    <comment ref="B36" authorId="0">
      <text>
        <r>
          <rPr>
            <b/>
            <sz val="12"/>
            <color indexed="10"/>
            <rFont val="Tahoma"/>
            <family val="2"/>
          </rPr>
          <t xml:space="preserve">Semi-annual interest payments in May and November
</t>
        </r>
      </text>
    </comment>
    <comment ref="E38" authorId="0">
      <text>
        <r>
          <rPr>
            <b/>
            <sz val="12"/>
            <color indexed="10"/>
            <rFont val="Tahoma"/>
            <family val="2"/>
          </rPr>
          <t>Deferred consideration/other</t>
        </r>
        <r>
          <rPr>
            <sz val="9"/>
            <color indexed="81"/>
            <rFont val="Tahoma"/>
            <family val="2"/>
          </rPr>
          <t xml:space="preserve">
</t>
        </r>
      </text>
    </comment>
    <comment ref="I38" authorId="0">
      <text>
        <r>
          <rPr>
            <b/>
            <sz val="12"/>
            <color indexed="10"/>
            <rFont val="Tahoma"/>
            <family val="2"/>
          </rPr>
          <t>Statement of Cash flows:
Deferred Consideration = $5,624
Repayment of long term debt = $141</t>
        </r>
      </text>
    </comment>
    <comment ref="E40" authorId="0">
      <text>
        <r>
          <rPr>
            <b/>
            <sz val="12"/>
            <color indexed="10"/>
            <rFont val="Tahoma"/>
            <family val="2"/>
          </rPr>
          <t>2012 taxes = $125E</t>
        </r>
        <r>
          <rPr>
            <b/>
            <sz val="9"/>
            <color indexed="81"/>
            <rFont val="Tahoma"/>
            <family val="2"/>
          </rPr>
          <t xml:space="preserve">
</t>
        </r>
      </text>
    </comment>
    <comment ref="B43" authorId="0">
      <text>
        <r>
          <rPr>
            <b/>
            <sz val="9"/>
            <color indexed="81"/>
            <rFont val="Tahoma"/>
            <family val="2"/>
          </rPr>
          <t>Consolidated stmt of Cash Flows</t>
        </r>
        <r>
          <rPr>
            <sz val="9"/>
            <color indexed="81"/>
            <rFont val="Tahoma"/>
            <family val="2"/>
          </rPr>
          <t xml:space="preserve">
</t>
        </r>
      </text>
    </comment>
    <comment ref="I43" authorId="0">
      <text>
        <r>
          <rPr>
            <b/>
            <sz val="12"/>
            <color indexed="10"/>
            <rFont val="Tahoma"/>
            <family val="2"/>
          </rPr>
          <t>Statement of Cash Flows:
Post employment benefits in excess of cost = $1,791</t>
        </r>
      </text>
    </comment>
    <comment ref="E44" authorId="0">
      <text>
        <r>
          <rPr>
            <b/>
            <sz val="10"/>
            <color indexed="10"/>
            <rFont val="Tahoma"/>
            <family val="2"/>
          </rPr>
          <t>Adjusted from $42.7 for unidentified items.</t>
        </r>
      </text>
    </comment>
    <comment ref="I44" authorId="0">
      <text>
        <r>
          <rPr>
            <b/>
            <sz val="12"/>
            <color indexed="10"/>
            <rFont val="Tahoma"/>
            <family val="2"/>
          </rPr>
          <t>Statement of Cash Flows:
Change in operating assets/liabilities = $12,200 +</t>
        </r>
      </text>
    </comment>
    <comment ref="H47" authorId="0">
      <text>
        <r>
          <rPr>
            <b/>
            <sz val="16"/>
            <color indexed="10"/>
            <rFont val="Tahoma"/>
            <family val="2"/>
          </rPr>
          <t>Total Recap fees
$63 MM total</t>
        </r>
        <r>
          <rPr>
            <sz val="9"/>
            <color indexed="81"/>
            <rFont val="Tahoma"/>
            <family val="2"/>
          </rPr>
          <t xml:space="preserve">
</t>
        </r>
      </text>
    </comment>
    <comment ref="I49" authorId="0">
      <text>
        <r>
          <rPr>
            <b/>
            <sz val="12"/>
            <color indexed="10"/>
            <rFont val="Tahoma"/>
            <family val="2"/>
          </rPr>
          <t xml:space="preserve">Variance  due sales tax assessment
pg 9 of MD&amp;A </t>
        </r>
      </text>
    </comment>
    <comment ref="H54" authorId="0">
      <text>
        <r>
          <rPr>
            <b/>
            <sz val="14"/>
            <color indexed="10"/>
            <rFont val="Tahoma"/>
            <family val="2"/>
          </rPr>
          <t>Cash to lenders and MTN's</t>
        </r>
        <r>
          <rPr>
            <sz val="9"/>
            <color indexed="81"/>
            <rFont val="Tahoma"/>
            <family val="2"/>
          </rPr>
          <t xml:space="preserve">
</t>
        </r>
      </text>
    </comment>
    <comment ref="D55" authorId="0">
      <text>
        <r>
          <rPr>
            <b/>
            <sz val="12"/>
            <color indexed="10"/>
            <rFont val="Tahoma"/>
            <family val="2"/>
          </rPr>
          <t>Lespac sale</t>
        </r>
        <r>
          <rPr>
            <sz val="9"/>
            <color indexed="81"/>
            <rFont val="Tahoma"/>
            <family val="2"/>
          </rPr>
          <t xml:space="preserve">
</t>
        </r>
      </text>
    </comment>
    <comment ref="H58" authorId="0">
      <text>
        <r>
          <rPr>
            <b/>
            <sz val="12"/>
            <color indexed="10"/>
            <rFont val="Tahoma"/>
            <family val="2"/>
          </rPr>
          <t xml:space="preserve">Debt that has been reduced excluding convertible preferred shares
</t>
        </r>
      </text>
    </comment>
    <comment ref="D63" authorId="0">
      <text>
        <r>
          <rPr>
            <b/>
            <sz val="9"/>
            <color indexed="81"/>
            <rFont val="Tahoma"/>
            <family val="2"/>
          </rPr>
          <t xml:space="preserve">Cleared per IR </t>
        </r>
        <r>
          <rPr>
            <sz val="9"/>
            <color indexed="81"/>
            <rFont val="Tahoma"/>
            <family val="2"/>
          </rPr>
          <t xml:space="preserve">
</t>
        </r>
      </text>
    </comment>
    <comment ref="E63" authorId="0">
      <text>
        <r>
          <rPr>
            <b/>
            <sz val="12"/>
            <color indexed="10"/>
            <rFont val="Tahoma"/>
            <family val="2"/>
          </rPr>
          <t xml:space="preserve">Jan 1. 2012 installment </t>
        </r>
        <r>
          <rPr>
            <sz val="9"/>
            <color indexed="81"/>
            <rFont val="Tahoma"/>
            <family val="2"/>
          </rPr>
          <t xml:space="preserve">
</t>
        </r>
      </text>
    </comment>
    <comment ref="F63" authorId="0">
      <text>
        <r>
          <rPr>
            <b/>
            <sz val="14"/>
            <color indexed="10"/>
            <rFont val="Tahoma"/>
            <family val="2"/>
          </rPr>
          <t>March 1, 2012 installment</t>
        </r>
      </text>
    </comment>
    <comment ref="G63" authorId="0">
      <text>
        <r>
          <rPr>
            <b/>
            <sz val="14"/>
            <color indexed="10"/>
            <rFont val="Tahoma"/>
            <family val="2"/>
          </rPr>
          <t>June 1, 2012 installment</t>
        </r>
      </text>
    </comment>
    <comment ref="H63" authorId="0">
      <text>
        <r>
          <rPr>
            <b/>
            <sz val="16"/>
            <color indexed="10"/>
            <rFont val="Tahoma"/>
            <family val="2"/>
          </rPr>
          <t>Oct 1, 2012 payment of $25 million
plus additional $25 million payment
balance of $80 million "recapped"</t>
        </r>
      </text>
    </comment>
    <comment ref="E64" authorId="0">
      <text>
        <r>
          <rPr>
            <b/>
            <sz val="12"/>
            <color indexed="10"/>
            <rFont val="Tahoma"/>
            <family val="2"/>
          </rPr>
          <t>Drawdown of LOC  per 4Q-2011 supplemtals</t>
        </r>
        <r>
          <rPr>
            <sz val="9"/>
            <color indexed="81"/>
            <rFont val="Tahoma"/>
            <family val="2"/>
          </rPr>
          <t xml:space="preserve">
</t>
        </r>
      </text>
    </comment>
    <comment ref="D65" authorId="0">
      <text>
        <r>
          <rPr>
            <b/>
            <sz val="9"/>
            <color indexed="81"/>
            <rFont val="Tahoma"/>
            <family val="2"/>
          </rPr>
          <t>Cleared per IR</t>
        </r>
        <r>
          <rPr>
            <sz val="9"/>
            <color indexed="81"/>
            <rFont val="Tahoma"/>
            <family val="2"/>
          </rPr>
          <t xml:space="preserve">
</t>
        </r>
      </text>
    </comment>
    <comment ref="J69" authorId="0">
      <text>
        <r>
          <rPr>
            <b/>
            <sz val="12"/>
            <color indexed="10"/>
            <rFont val="Tahoma"/>
            <family val="2"/>
          </rPr>
          <t xml:space="preserve">Conference call details:
2013 - $100 MM
2014 - $  75 MM
</t>
        </r>
      </text>
    </comment>
    <comment ref="D89" authorId="0">
      <text>
        <r>
          <rPr>
            <b/>
            <sz val="14"/>
            <color indexed="10"/>
            <rFont val="Tahoma"/>
            <family val="2"/>
          </rPr>
          <t>EBITDA less Depreciation and Amortization, ignoring special items such as impairment charges, restructuring charges, and gains on settlement of debt.  These are usually one-time adjustments (noise).</t>
        </r>
        <r>
          <rPr>
            <b/>
            <sz val="14"/>
            <color indexed="81"/>
            <rFont val="Tahoma"/>
            <family val="2"/>
          </rPr>
          <t xml:space="preserve">
</t>
        </r>
      </text>
    </comment>
    <comment ref="H89" authorId="0">
      <text>
        <r>
          <rPr>
            <b/>
            <sz val="12"/>
            <color indexed="10"/>
            <rFont val="Tahoma"/>
            <family val="2"/>
          </rPr>
          <t>EBITDA    -  Dep/ Amort = Adjusted earnings from Ops 
 $ 141.6    -         23.4       =    $118.2  million</t>
        </r>
        <r>
          <rPr>
            <sz val="9"/>
            <color indexed="81"/>
            <rFont val="Tahoma"/>
            <family val="2"/>
          </rPr>
          <t xml:space="preserve">
</t>
        </r>
      </text>
    </comment>
    <comment ref="I89" authorId="0">
      <text>
        <r>
          <rPr>
            <b/>
            <sz val="12"/>
            <color indexed="10"/>
            <rFont val="Tahoma"/>
            <family val="2"/>
          </rPr>
          <t>EBITDA    -  Dep/ Amort = Adjusted earnings from Ops 
 $ 115.5    -        $ 13.7       =    $ 101.8  million</t>
        </r>
      </text>
    </comment>
    <comment ref="I95" authorId="0">
      <text>
        <r>
          <rPr>
            <b/>
            <sz val="12"/>
            <color indexed="10"/>
            <rFont val="Tahoma"/>
            <family val="2"/>
          </rPr>
          <t xml:space="preserve">Closing share price as at May 21, 2013
</t>
        </r>
      </text>
    </comment>
  </commentList>
</comments>
</file>

<file path=xl/comments6.xml><?xml version="1.0" encoding="utf-8"?>
<comments xmlns="http://schemas.openxmlformats.org/spreadsheetml/2006/main">
  <authors>
    <author>Vic</author>
  </authors>
  <commentList>
    <comment ref="E17" authorId="0">
      <text>
        <r>
          <rPr>
            <b/>
            <sz val="12"/>
            <color indexed="10"/>
            <rFont val="Tahoma"/>
            <family val="2"/>
          </rPr>
          <t>Lespac sold in Nov
Canpages closed early Feb 2012 may account for revenue drop</t>
        </r>
        <r>
          <rPr>
            <sz val="9"/>
            <color indexed="81"/>
            <rFont val="Tahoma"/>
            <family val="2"/>
          </rPr>
          <t xml:space="preserve">
</t>
        </r>
      </text>
    </comment>
    <comment ref="E30" authorId="0">
      <text>
        <r>
          <rPr>
            <b/>
            <sz val="9"/>
            <color indexed="10"/>
            <rFont val="Tahoma"/>
            <family val="2"/>
          </rPr>
          <t>Interest on RT draw-down of $239 million on Feb 9th</t>
        </r>
        <r>
          <rPr>
            <sz val="9"/>
            <color indexed="10"/>
            <rFont val="Tahoma"/>
            <family val="2"/>
          </rPr>
          <t xml:space="preserve">
</t>
        </r>
      </text>
    </comment>
    <comment ref="E47" authorId="0">
      <text>
        <r>
          <rPr>
            <b/>
            <sz val="12"/>
            <color indexed="10"/>
            <rFont val="Tahoma"/>
            <family val="2"/>
          </rPr>
          <t>Deferred consideration/other</t>
        </r>
        <r>
          <rPr>
            <sz val="9"/>
            <color indexed="81"/>
            <rFont val="Tahoma"/>
            <family val="2"/>
          </rPr>
          <t xml:space="preserve">
</t>
        </r>
      </text>
    </comment>
    <comment ref="E49" authorId="0">
      <text>
        <r>
          <rPr>
            <b/>
            <sz val="12"/>
            <color indexed="10"/>
            <rFont val="Tahoma"/>
            <family val="2"/>
          </rPr>
          <t>2012 taxes = $125E</t>
        </r>
        <r>
          <rPr>
            <b/>
            <sz val="9"/>
            <color indexed="81"/>
            <rFont val="Tahoma"/>
            <family val="2"/>
          </rPr>
          <t xml:space="preserve">
</t>
        </r>
      </text>
    </comment>
    <comment ref="B52" authorId="0">
      <text>
        <r>
          <rPr>
            <b/>
            <sz val="9"/>
            <color indexed="81"/>
            <rFont val="Tahoma"/>
            <family val="2"/>
          </rPr>
          <t>Consolidated stmt of Cash Flows</t>
        </r>
        <r>
          <rPr>
            <sz val="9"/>
            <color indexed="81"/>
            <rFont val="Tahoma"/>
            <family val="2"/>
          </rPr>
          <t xml:space="preserve">
</t>
        </r>
      </text>
    </comment>
    <comment ref="E53" authorId="0">
      <text>
        <r>
          <rPr>
            <b/>
            <sz val="10"/>
            <color indexed="10"/>
            <rFont val="Tahoma"/>
            <family val="2"/>
          </rPr>
          <t>Adjusted from $42.7 for unidentified items.</t>
        </r>
      </text>
    </comment>
    <comment ref="H56" authorId="0">
      <text>
        <r>
          <rPr>
            <b/>
            <sz val="16"/>
            <color indexed="10"/>
            <rFont val="Tahoma"/>
            <family val="2"/>
          </rPr>
          <t>Total Recap fees
$63 MM total</t>
        </r>
        <r>
          <rPr>
            <sz val="9"/>
            <color indexed="81"/>
            <rFont val="Tahoma"/>
            <family val="2"/>
          </rPr>
          <t xml:space="preserve">
</t>
        </r>
      </text>
    </comment>
    <comment ref="H63" authorId="0">
      <text>
        <r>
          <rPr>
            <b/>
            <sz val="14"/>
            <color indexed="10"/>
            <rFont val="Tahoma"/>
            <family val="2"/>
          </rPr>
          <t>Cash to lenders and MTN's</t>
        </r>
        <r>
          <rPr>
            <sz val="9"/>
            <color indexed="81"/>
            <rFont val="Tahoma"/>
            <family val="2"/>
          </rPr>
          <t xml:space="preserve">
</t>
        </r>
      </text>
    </comment>
    <comment ref="D64" authorId="0">
      <text>
        <r>
          <rPr>
            <b/>
            <sz val="12"/>
            <color indexed="10"/>
            <rFont val="Tahoma"/>
            <family val="2"/>
          </rPr>
          <t>Lespac sale</t>
        </r>
        <r>
          <rPr>
            <sz val="9"/>
            <color indexed="81"/>
            <rFont val="Tahoma"/>
            <family val="2"/>
          </rPr>
          <t xml:space="preserve">
</t>
        </r>
      </text>
    </comment>
    <comment ref="H67" authorId="0">
      <text>
        <r>
          <rPr>
            <b/>
            <sz val="12"/>
            <color indexed="10"/>
            <rFont val="Tahoma"/>
            <family val="2"/>
          </rPr>
          <t xml:space="preserve">Debt that has been reduced excluding convertible preferred shares
</t>
        </r>
      </text>
    </comment>
    <comment ref="D72" authorId="0">
      <text>
        <r>
          <rPr>
            <b/>
            <sz val="9"/>
            <color indexed="81"/>
            <rFont val="Tahoma"/>
            <family val="2"/>
          </rPr>
          <t xml:space="preserve">Cleared per IR </t>
        </r>
        <r>
          <rPr>
            <sz val="9"/>
            <color indexed="81"/>
            <rFont val="Tahoma"/>
            <family val="2"/>
          </rPr>
          <t xml:space="preserve">
</t>
        </r>
      </text>
    </comment>
    <comment ref="E72" authorId="0">
      <text>
        <r>
          <rPr>
            <b/>
            <sz val="12"/>
            <color indexed="10"/>
            <rFont val="Tahoma"/>
            <family val="2"/>
          </rPr>
          <t xml:space="preserve">Jan 1. 2012 installment </t>
        </r>
        <r>
          <rPr>
            <sz val="9"/>
            <color indexed="81"/>
            <rFont val="Tahoma"/>
            <family val="2"/>
          </rPr>
          <t xml:space="preserve">
</t>
        </r>
      </text>
    </comment>
    <comment ref="F72" authorId="0">
      <text>
        <r>
          <rPr>
            <b/>
            <sz val="14"/>
            <color indexed="10"/>
            <rFont val="Tahoma"/>
            <family val="2"/>
          </rPr>
          <t>March 1, 2012 installment</t>
        </r>
      </text>
    </comment>
    <comment ref="G72" authorId="0">
      <text>
        <r>
          <rPr>
            <b/>
            <sz val="14"/>
            <color indexed="10"/>
            <rFont val="Tahoma"/>
            <family val="2"/>
          </rPr>
          <t>June 1, 2012 installment</t>
        </r>
      </text>
    </comment>
    <comment ref="H72" authorId="0">
      <text>
        <r>
          <rPr>
            <b/>
            <sz val="16"/>
            <color indexed="10"/>
            <rFont val="Tahoma"/>
            <family val="2"/>
          </rPr>
          <t>Oct 1, 2012 payment of $25 million
plus additional $25 million payment
balance of $80 million "recapped"</t>
        </r>
      </text>
    </comment>
    <comment ref="E73" authorId="0">
      <text>
        <r>
          <rPr>
            <b/>
            <sz val="12"/>
            <color indexed="10"/>
            <rFont val="Tahoma"/>
            <family val="2"/>
          </rPr>
          <t>Drawdown of LOC  per 4Q-2011 supplemtals</t>
        </r>
        <r>
          <rPr>
            <sz val="9"/>
            <color indexed="81"/>
            <rFont val="Tahoma"/>
            <family val="2"/>
          </rPr>
          <t xml:space="preserve">
</t>
        </r>
      </text>
    </comment>
    <comment ref="D74" authorId="0">
      <text>
        <r>
          <rPr>
            <b/>
            <sz val="9"/>
            <color indexed="81"/>
            <rFont val="Tahoma"/>
            <family val="2"/>
          </rPr>
          <t>Cleared per IR</t>
        </r>
        <r>
          <rPr>
            <sz val="9"/>
            <color indexed="81"/>
            <rFont val="Tahoma"/>
            <family val="2"/>
          </rPr>
          <t xml:space="preserve">
</t>
        </r>
      </text>
    </comment>
    <comment ref="J78" authorId="0">
      <text>
        <r>
          <rPr>
            <b/>
            <sz val="12"/>
            <color indexed="10"/>
            <rFont val="Tahoma"/>
            <family val="2"/>
          </rPr>
          <t xml:space="preserve">Conference call details:
2013 - $100 MM
2014 - $  75 MM
</t>
        </r>
      </text>
    </comment>
    <comment ref="D104" authorId="0">
      <text>
        <r>
          <rPr>
            <b/>
            <sz val="14"/>
            <color indexed="10"/>
            <rFont val="Tahoma"/>
            <family val="2"/>
          </rPr>
          <t>EBITDA less Depreciation and Amortization, ignoring special items such as impairment charges, restructuring charges, and gains on settlement of debt.  These are usually one-time adjustments (noise).</t>
        </r>
        <r>
          <rPr>
            <b/>
            <sz val="14"/>
            <color indexed="81"/>
            <rFont val="Tahoma"/>
            <family val="2"/>
          </rPr>
          <t xml:space="preserve">
</t>
        </r>
      </text>
    </comment>
    <comment ref="H104" authorId="0">
      <text>
        <r>
          <rPr>
            <b/>
            <sz val="12"/>
            <color indexed="10"/>
            <rFont val="Tahoma"/>
            <family val="2"/>
          </rPr>
          <t>EBITDA    -  Dep/ Amort = Adjusted earnings from Ops 
 $ 141.6    -         23.4       =    $118.2  million</t>
        </r>
        <r>
          <rPr>
            <sz val="9"/>
            <color indexed="81"/>
            <rFont val="Tahoma"/>
            <family val="2"/>
          </rPr>
          <t xml:space="preserve">
</t>
        </r>
      </text>
    </comment>
  </commentList>
</comments>
</file>

<file path=xl/comments7.xml><?xml version="1.0" encoding="utf-8"?>
<comments xmlns="http://schemas.openxmlformats.org/spreadsheetml/2006/main">
  <authors>
    <author>Vic</author>
  </authors>
  <commentList>
    <comment ref="E17" authorId="0">
      <text>
        <r>
          <rPr>
            <b/>
            <sz val="12"/>
            <color indexed="10"/>
            <rFont val="Tahoma"/>
            <family val="2"/>
          </rPr>
          <t>Lespac sold in Nov
Canpages closed early Feb 2012 may account for revenue drop</t>
        </r>
        <r>
          <rPr>
            <sz val="9"/>
            <color indexed="81"/>
            <rFont val="Tahoma"/>
            <family val="2"/>
          </rPr>
          <t xml:space="preserve">
</t>
        </r>
      </text>
    </comment>
    <comment ref="E19" authorId="0">
      <text>
        <r>
          <rPr>
            <b/>
            <sz val="12"/>
            <color indexed="10"/>
            <rFont val="Tahoma"/>
            <family val="2"/>
          </rPr>
          <t>Closure of higher-cost Canpages  boosted margins</t>
        </r>
        <r>
          <rPr>
            <sz val="9"/>
            <color indexed="81"/>
            <rFont val="Tahoma"/>
            <family val="2"/>
          </rPr>
          <t xml:space="preserve">
</t>
        </r>
      </text>
    </comment>
    <comment ref="E30" authorId="0">
      <text>
        <r>
          <rPr>
            <b/>
            <sz val="9"/>
            <color indexed="10"/>
            <rFont val="Tahoma"/>
            <family val="2"/>
          </rPr>
          <t>Interest on RT draw-down of $239 million on Feb 9th</t>
        </r>
        <r>
          <rPr>
            <sz val="9"/>
            <color indexed="10"/>
            <rFont val="Tahoma"/>
            <family val="2"/>
          </rPr>
          <t xml:space="preserve">
</t>
        </r>
      </text>
    </comment>
    <comment ref="E47" authorId="0">
      <text>
        <r>
          <rPr>
            <b/>
            <sz val="12"/>
            <color indexed="10"/>
            <rFont val="Tahoma"/>
            <family val="2"/>
          </rPr>
          <t>Deferred consideration/other</t>
        </r>
        <r>
          <rPr>
            <sz val="9"/>
            <color indexed="81"/>
            <rFont val="Tahoma"/>
            <family val="2"/>
          </rPr>
          <t xml:space="preserve">
</t>
        </r>
      </text>
    </comment>
    <comment ref="E49" authorId="0">
      <text>
        <r>
          <rPr>
            <b/>
            <sz val="12"/>
            <color indexed="10"/>
            <rFont val="Tahoma"/>
            <family val="2"/>
          </rPr>
          <t>2012 taxes = $125E</t>
        </r>
        <r>
          <rPr>
            <b/>
            <sz val="9"/>
            <color indexed="81"/>
            <rFont val="Tahoma"/>
            <family val="2"/>
          </rPr>
          <t xml:space="preserve">
</t>
        </r>
      </text>
    </comment>
    <comment ref="B52" authorId="0">
      <text>
        <r>
          <rPr>
            <b/>
            <sz val="9"/>
            <color indexed="81"/>
            <rFont val="Tahoma"/>
            <family val="2"/>
          </rPr>
          <t>Consolidated stmt of Cash Flows</t>
        </r>
        <r>
          <rPr>
            <sz val="9"/>
            <color indexed="81"/>
            <rFont val="Tahoma"/>
            <family val="2"/>
          </rPr>
          <t xml:space="preserve">
</t>
        </r>
      </text>
    </comment>
    <comment ref="E53" authorId="0">
      <text>
        <r>
          <rPr>
            <b/>
            <sz val="10"/>
            <color indexed="10"/>
            <rFont val="Tahoma"/>
            <family val="2"/>
          </rPr>
          <t>Adjusted from $42.7 for unidentified items.</t>
        </r>
      </text>
    </comment>
    <comment ref="H56" authorId="0">
      <text>
        <r>
          <rPr>
            <b/>
            <sz val="16"/>
            <color indexed="10"/>
            <rFont val="Tahoma"/>
            <family val="2"/>
          </rPr>
          <t>Recap fees
$50 MM total</t>
        </r>
        <r>
          <rPr>
            <sz val="9"/>
            <color indexed="81"/>
            <rFont val="Tahoma"/>
            <family val="2"/>
          </rPr>
          <t xml:space="preserve">
</t>
        </r>
      </text>
    </comment>
    <comment ref="H63" authorId="0">
      <text>
        <r>
          <rPr>
            <b/>
            <sz val="14"/>
            <color indexed="10"/>
            <rFont val="Tahoma"/>
            <family val="2"/>
          </rPr>
          <t>Cash to lenders and MTN's</t>
        </r>
        <r>
          <rPr>
            <sz val="9"/>
            <color indexed="81"/>
            <rFont val="Tahoma"/>
            <family val="2"/>
          </rPr>
          <t xml:space="preserve">
</t>
        </r>
      </text>
    </comment>
    <comment ref="D64" authorId="0">
      <text>
        <r>
          <rPr>
            <b/>
            <sz val="12"/>
            <color indexed="10"/>
            <rFont val="Tahoma"/>
            <family val="2"/>
          </rPr>
          <t>Lespac sale</t>
        </r>
        <r>
          <rPr>
            <sz val="9"/>
            <color indexed="81"/>
            <rFont val="Tahoma"/>
            <family val="2"/>
          </rPr>
          <t xml:space="preserve">
</t>
        </r>
      </text>
    </comment>
    <comment ref="H67" authorId="0">
      <text>
        <r>
          <rPr>
            <b/>
            <sz val="12"/>
            <color indexed="10"/>
            <rFont val="Tahoma"/>
            <family val="2"/>
          </rPr>
          <t xml:space="preserve">Debt that has been reduced excluding convertible preferred shares
</t>
        </r>
      </text>
    </comment>
    <comment ref="D72" authorId="0">
      <text>
        <r>
          <rPr>
            <b/>
            <sz val="9"/>
            <color indexed="81"/>
            <rFont val="Tahoma"/>
            <family val="2"/>
          </rPr>
          <t xml:space="preserve">Cleared per IR </t>
        </r>
        <r>
          <rPr>
            <sz val="9"/>
            <color indexed="81"/>
            <rFont val="Tahoma"/>
            <family val="2"/>
          </rPr>
          <t xml:space="preserve">
</t>
        </r>
      </text>
    </comment>
    <comment ref="E72" authorId="0">
      <text>
        <r>
          <rPr>
            <b/>
            <sz val="12"/>
            <color indexed="10"/>
            <rFont val="Tahoma"/>
            <family val="2"/>
          </rPr>
          <t xml:space="preserve">Jan 1. 2012 installment </t>
        </r>
        <r>
          <rPr>
            <sz val="9"/>
            <color indexed="81"/>
            <rFont val="Tahoma"/>
            <family val="2"/>
          </rPr>
          <t xml:space="preserve">
</t>
        </r>
      </text>
    </comment>
    <comment ref="F72" authorId="0">
      <text>
        <r>
          <rPr>
            <b/>
            <sz val="14"/>
            <color indexed="10"/>
            <rFont val="Tahoma"/>
            <family val="2"/>
          </rPr>
          <t>March 1, 2012 installment</t>
        </r>
      </text>
    </comment>
    <comment ref="G72" authorId="0">
      <text>
        <r>
          <rPr>
            <b/>
            <sz val="14"/>
            <color indexed="10"/>
            <rFont val="Tahoma"/>
            <family val="2"/>
          </rPr>
          <t>June 1, 2012 installment</t>
        </r>
      </text>
    </comment>
    <comment ref="H72" authorId="0">
      <text>
        <r>
          <rPr>
            <b/>
            <sz val="16"/>
            <color indexed="10"/>
            <rFont val="Tahoma"/>
            <family val="2"/>
          </rPr>
          <t>Oct 1, 2012 payment of $25 million
plus additional $25 million payment
balance of $80 million "recapped"</t>
        </r>
      </text>
    </comment>
    <comment ref="E73" authorId="0">
      <text>
        <r>
          <rPr>
            <b/>
            <sz val="12"/>
            <color indexed="10"/>
            <rFont val="Tahoma"/>
            <family val="2"/>
          </rPr>
          <t>Drawdown of LOC  per 4Q-2011 supplemtals</t>
        </r>
        <r>
          <rPr>
            <sz val="9"/>
            <color indexed="81"/>
            <rFont val="Tahoma"/>
            <family val="2"/>
          </rPr>
          <t xml:space="preserve">
</t>
        </r>
      </text>
    </comment>
    <comment ref="D74" authorId="0">
      <text>
        <r>
          <rPr>
            <b/>
            <sz val="9"/>
            <color indexed="81"/>
            <rFont val="Tahoma"/>
            <family val="2"/>
          </rPr>
          <t>Cleared per IR</t>
        </r>
        <r>
          <rPr>
            <sz val="9"/>
            <color indexed="81"/>
            <rFont val="Tahoma"/>
            <family val="2"/>
          </rPr>
          <t xml:space="preserve">
</t>
        </r>
      </text>
    </comment>
  </commentList>
</comments>
</file>

<file path=xl/comments8.xml><?xml version="1.0" encoding="utf-8"?>
<comments xmlns="http://schemas.openxmlformats.org/spreadsheetml/2006/main">
  <authors>
    <author>Vic</author>
  </authors>
  <commentList>
    <comment ref="E17" authorId="0">
      <text>
        <r>
          <rPr>
            <b/>
            <sz val="12"/>
            <color indexed="10"/>
            <rFont val="Tahoma"/>
            <family val="2"/>
          </rPr>
          <t>Lespac sold in Nov
Canpages closed early Feb 2012 may account for revenue drop</t>
        </r>
        <r>
          <rPr>
            <sz val="9"/>
            <color indexed="81"/>
            <rFont val="Tahoma"/>
            <family val="2"/>
          </rPr>
          <t xml:space="preserve">
</t>
        </r>
      </text>
    </comment>
    <comment ref="E19" authorId="0">
      <text>
        <r>
          <rPr>
            <b/>
            <sz val="12"/>
            <color indexed="10"/>
            <rFont val="Tahoma"/>
            <family val="2"/>
          </rPr>
          <t>Closure of higher-cost Canpages  boosted margins</t>
        </r>
        <r>
          <rPr>
            <sz val="9"/>
            <color indexed="81"/>
            <rFont val="Tahoma"/>
            <family val="2"/>
          </rPr>
          <t xml:space="preserve">
</t>
        </r>
      </text>
    </comment>
    <comment ref="E30" authorId="0">
      <text>
        <r>
          <rPr>
            <b/>
            <sz val="9"/>
            <color indexed="10"/>
            <rFont val="Tahoma"/>
            <family val="2"/>
          </rPr>
          <t>Interest on RT draw-down of $239 million on Feb 9th</t>
        </r>
        <r>
          <rPr>
            <sz val="9"/>
            <color indexed="10"/>
            <rFont val="Tahoma"/>
            <family val="2"/>
          </rPr>
          <t xml:space="preserve">
</t>
        </r>
      </text>
    </comment>
    <comment ref="M30" authorId="0">
      <text>
        <r>
          <rPr>
            <b/>
            <sz val="12"/>
            <color indexed="10"/>
            <rFont val="Tahoma"/>
            <family val="2"/>
          </rPr>
          <t>Assumes RT drawdown</t>
        </r>
      </text>
    </comment>
    <comment ref="L32" authorId="0">
      <text>
        <r>
          <rPr>
            <b/>
            <sz val="12"/>
            <color indexed="10"/>
            <rFont val="Tahoma"/>
            <family val="2"/>
          </rPr>
          <t>Assumes conversion to common shares</t>
        </r>
        <r>
          <rPr>
            <sz val="9"/>
            <color indexed="81"/>
            <rFont val="Tahoma"/>
            <family val="2"/>
          </rPr>
          <t xml:space="preserve">
</t>
        </r>
      </text>
    </comment>
    <comment ref="E44" authorId="0">
      <text>
        <r>
          <rPr>
            <b/>
            <sz val="12"/>
            <color indexed="10"/>
            <rFont val="Tahoma"/>
            <family val="2"/>
          </rPr>
          <t>Deferred consideration/other</t>
        </r>
        <r>
          <rPr>
            <sz val="9"/>
            <color indexed="81"/>
            <rFont val="Tahoma"/>
            <family val="2"/>
          </rPr>
          <t xml:space="preserve">
</t>
        </r>
      </text>
    </comment>
    <comment ref="E46" authorId="0">
      <text>
        <r>
          <rPr>
            <b/>
            <sz val="12"/>
            <color indexed="10"/>
            <rFont val="Tahoma"/>
            <family val="2"/>
          </rPr>
          <t>2012 taxes = $125E</t>
        </r>
        <r>
          <rPr>
            <b/>
            <sz val="9"/>
            <color indexed="81"/>
            <rFont val="Tahoma"/>
            <family val="2"/>
          </rPr>
          <t xml:space="preserve">
</t>
        </r>
      </text>
    </comment>
    <comment ref="B49" authorId="0">
      <text>
        <r>
          <rPr>
            <b/>
            <sz val="9"/>
            <color indexed="81"/>
            <rFont val="Tahoma"/>
            <family val="2"/>
          </rPr>
          <t>Consolidated stmt of Cash Flows</t>
        </r>
        <r>
          <rPr>
            <sz val="9"/>
            <color indexed="81"/>
            <rFont val="Tahoma"/>
            <family val="2"/>
          </rPr>
          <t xml:space="preserve">
</t>
        </r>
      </text>
    </comment>
    <comment ref="E50" authorId="0">
      <text>
        <r>
          <rPr>
            <b/>
            <sz val="10"/>
            <color indexed="10"/>
            <rFont val="Tahoma"/>
            <family val="2"/>
          </rPr>
          <t>Adjusted from $42.7 for unidentified items.</t>
        </r>
      </text>
    </comment>
    <comment ref="D61" authorId="0">
      <text>
        <r>
          <rPr>
            <b/>
            <sz val="12"/>
            <color indexed="10"/>
            <rFont val="Tahoma"/>
            <family val="2"/>
          </rPr>
          <t>Lespac sale</t>
        </r>
        <r>
          <rPr>
            <sz val="9"/>
            <color indexed="81"/>
            <rFont val="Tahoma"/>
            <family val="2"/>
          </rPr>
          <t xml:space="preserve">
</t>
        </r>
      </text>
    </comment>
    <comment ref="D69" authorId="0">
      <text>
        <r>
          <rPr>
            <b/>
            <sz val="9"/>
            <color indexed="81"/>
            <rFont val="Tahoma"/>
            <family val="2"/>
          </rPr>
          <t xml:space="preserve">Cleared per IR </t>
        </r>
        <r>
          <rPr>
            <sz val="9"/>
            <color indexed="81"/>
            <rFont val="Tahoma"/>
            <family val="2"/>
          </rPr>
          <t xml:space="preserve">
</t>
        </r>
      </text>
    </comment>
    <comment ref="E69" authorId="0">
      <text>
        <r>
          <rPr>
            <b/>
            <sz val="12"/>
            <color indexed="10"/>
            <rFont val="Tahoma"/>
            <family val="2"/>
          </rPr>
          <t xml:space="preserve">Jan 1. 2012 installment </t>
        </r>
        <r>
          <rPr>
            <sz val="9"/>
            <color indexed="81"/>
            <rFont val="Tahoma"/>
            <family val="2"/>
          </rPr>
          <t xml:space="preserve">
</t>
        </r>
      </text>
    </comment>
    <comment ref="F69" authorId="0">
      <text>
        <r>
          <rPr>
            <b/>
            <sz val="14"/>
            <color indexed="10"/>
            <rFont val="Tahoma"/>
            <family val="2"/>
          </rPr>
          <t>March 1, 2012 installment</t>
        </r>
      </text>
    </comment>
    <comment ref="G69" authorId="0">
      <text>
        <r>
          <rPr>
            <b/>
            <sz val="14"/>
            <color indexed="10"/>
            <rFont val="Tahoma"/>
            <family val="2"/>
          </rPr>
          <t>June 1, 2012 installment</t>
        </r>
      </text>
    </comment>
    <comment ref="I69" authorId="0">
      <text>
        <r>
          <rPr>
            <b/>
            <sz val="9"/>
            <color indexed="81"/>
            <rFont val="Tahoma"/>
            <family val="2"/>
          </rPr>
          <t>Jan 1, 2013 installment + Feb balance due</t>
        </r>
        <r>
          <rPr>
            <sz val="9"/>
            <color indexed="81"/>
            <rFont val="Tahoma"/>
            <family val="2"/>
          </rPr>
          <t xml:space="preserve">
</t>
        </r>
      </text>
    </comment>
    <comment ref="E70" authorId="0">
      <text>
        <r>
          <rPr>
            <b/>
            <sz val="12"/>
            <color indexed="10"/>
            <rFont val="Tahoma"/>
            <family val="2"/>
          </rPr>
          <t>Drawdown of LOC  per 4Q-2011 supplemtals</t>
        </r>
        <r>
          <rPr>
            <sz val="9"/>
            <color indexed="81"/>
            <rFont val="Tahoma"/>
            <family val="2"/>
          </rPr>
          <t xml:space="preserve">
</t>
        </r>
      </text>
    </comment>
    <comment ref="I70" authorId="0">
      <text>
        <r>
          <rPr>
            <b/>
            <sz val="12"/>
            <color indexed="10"/>
            <rFont val="Tahoma"/>
            <family val="2"/>
          </rPr>
          <t xml:space="preserve">Assumes repayment of the RT in full.
</t>
        </r>
      </text>
    </comment>
    <comment ref="D71" authorId="0">
      <text>
        <r>
          <rPr>
            <b/>
            <sz val="9"/>
            <color indexed="81"/>
            <rFont val="Tahoma"/>
            <family val="2"/>
          </rPr>
          <t>Cleared per IR</t>
        </r>
        <r>
          <rPr>
            <sz val="9"/>
            <color indexed="81"/>
            <rFont val="Tahoma"/>
            <family val="2"/>
          </rPr>
          <t xml:space="preserve">
</t>
        </r>
      </text>
    </comment>
  </commentList>
</comments>
</file>

<file path=xl/comments9.xml><?xml version="1.0" encoding="utf-8"?>
<comments xmlns="http://schemas.openxmlformats.org/spreadsheetml/2006/main">
  <authors>
    <author>Vic</author>
  </authors>
  <commentList>
    <comment ref="E17" authorId="0">
      <text>
        <r>
          <rPr>
            <b/>
            <sz val="12"/>
            <color indexed="10"/>
            <rFont val="Tahoma"/>
            <family val="2"/>
          </rPr>
          <t>Lespac sold in Nov
Canpages closed early Feb 2012 may account for revenue drop</t>
        </r>
        <r>
          <rPr>
            <sz val="9"/>
            <color indexed="81"/>
            <rFont val="Tahoma"/>
            <family val="2"/>
          </rPr>
          <t xml:space="preserve">
</t>
        </r>
      </text>
    </comment>
    <comment ref="E19" authorId="0">
      <text>
        <r>
          <rPr>
            <b/>
            <sz val="12"/>
            <color indexed="10"/>
            <rFont val="Tahoma"/>
            <family val="2"/>
          </rPr>
          <t>Closure of higher-cost Canpages  boosted margins</t>
        </r>
        <r>
          <rPr>
            <sz val="9"/>
            <color indexed="81"/>
            <rFont val="Tahoma"/>
            <family val="2"/>
          </rPr>
          <t xml:space="preserve">
</t>
        </r>
      </text>
    </comment>
    <comment ref="E30" authorId="0">
      <text>
        <r>
          <rPr>
            <b/>
            <sz val="9"/>
            <color indexed="10"/>
            <rFont val="Tahoma"/>
            <family val="2"/>
          </rPr>
          <t>Interest on RT draw-down of $239 million on Feb 9th</t>
        </r>
        <r>
          <rPr>
            <sz val="9"/>
            <color indexed="10"/>
            <rFont val="Tahoma"/>
            <family val="2"/>
          </rPr>
          <t xml:space="preserve">
</t>
        </r>
      </text>
    </comment>
    <comment ref="M30" authorId="0">
      <text>
        <r>
          <rPr>
            <b/>
            <sz val="12"/>
            <color indexed="10"/>
            <rFont val="Tahoma"/>
            <family val="2"/>
          </rPr>
          <t>Assumes RT drawdown</t>
        </r>
      </text>
    </comment>
    <comment ref="L32" authorId="0">
      <text>
        <r>
          <rPr>
            <b/>
            <sz val="12"/>
            <color indexed="10"/>
            <rFont val="Tahoma"/>
            <family val="2"/>
          </rPr>
          <t>Assumes conversion to common shares</t>
        </r>
        <r>
          <rPr>
            <sz val="9"/>
            <color indexed="81"/>
            <rFont val="Tahoma"/>
            <family val="2"/>
          </rPr>
          <t xml:space="preserve">
</t>
        </r>
      </text>
    </comment>
    <comment ref="E44" authorId="0">
      <text>
        <r>
          <rPr>
            <b/>
            <sz val="12"/>
            <color indexed="10"/>
            <rFont val="Tahoma"/>
            <family val="2"/>
          </rPr>
          <t>Deferred consideration/other</t>
        </r>
        <r>
          <rPr>
            <sz val="9"/>
            <color indexed="81"/>
            <rFont val="Tahoma"/>
            <family val="2"/>
          </rPr>
          <t xml:space="preserve">
</t>
        </r>
      </text>
    </comment>
    <comment ref="E46" authorId="0">
      <text>
        <r>
          <rPr>
            <b/>
            <sz val="12"/>
            <color indexed="10"/>
            <rFont val="Tahoma"/>
            <family val="2"/>
          </rPr>
          <t>2012 taxes = $125E</t>
        </r>
        <r>
          <rPr>
            <b/>
            <sz val="9"/>
            <color indexed="81"/>
            <rFont val="Tahoma"/>
            <family val="2"/>
          </rPr>
          <t xml:space="preserve">
</t>
        </r>
      </text>
    </comment>
    <comment ref="B49" authorId="0">
      <text>
        <r>
          <rPr>
            <b/>
            <sz val="9"/>
            <color indexed="81"/>
            <rFont val="Tahoma"/>
            <family val="2"/>
          </rPr>
          <t>Consolidated stmt of Cash Flows</t>
        </r>
        <r>
          <rPr>
            <sz val="9"/>
            <color indexed="81"/>
            <rFont val="Tahoma"/>
            <family val="2"/>
          </rPr>
          <t xml:space="preserve">
</t>
        </r>
      </text>
    </comment>
    <comment ref="E50" authorId="0">
      <text>
        <r>
          <rPr>
            <b/>
            <sz val="10"/>
            <color indexed="10"/>
            <rFont val="Tahoma"/>
            <family val="2"/>
          </rPr>
          <t>Adjusted from $42.7 for unidentified items.</t>
        </r>
      </text>
    </comment>
    <comment ref="D59" authorId="0">
      <text>
        <r>
          <rPr>
            <b/>
            <sz val="12"/>
            <color indexed="10"/>
            <rFont val="Tahoma"/>
            <family val="2"/>
          </rPr>
          <t>Lespac sale</t>
        </r>
        <r>
          <rPr>
            <sz val="9"/>
            <color indexed="81"/>
            <rFont val="Tahoma"/>
            <family val="2"/>
          </rPr>
          <t xml:space="preserve">
</t>
        </r>
      </text>
    </comment>
    <comment ref="D67" authorId="0">
      <text>
        <r>
          <rPr>
            <b/>
            <sz val="9"/>
            <color indexed="81"/>
            <rFont val="Tahoma"/>
            <family val="2"/>
          </rPr>
          <t xml:space="preserve">Cleared per IR </t>
        </r>
        <r>
          <rPr>
            <sz val="9"/>
            <color indexed="81"/>
            <rFont val="Tahoma"/>
            <family val="2"/>
          </rPr>
          <t xml:space="preserve">
</t>
        </r>
      </text>
    </comment>
    <comment ref="E67" authorId="0">
      <text>
        <r>
          <rPr>
            <b/>
            <sz val="12"/>
            <color indexed="10"/>
            <rFont val="Tahoma"/>
            <family val="2"/>
          </rPr>
          <t xml:space="preserve">Jan 1. 2012 installment </t>
        </r>
        <r>
          <rPr>
            <sz val="9"/>
            <color indexed="81"/>
            <rFont val="Tahoma"/>
            <family val="2"/>
          </rPr>
          <t xml:space="preserve">
</t>
        </r>
      </text>
    </comment>
    <comment ref="F67" authorId="0">
      <text>
        <r>
          <rPr>
            <b/>
            <sz val="14"/>
            <color indexed="10"/>
            <rFont val="Tahoma"/>
            <family val="2"/>
          </rPr>
          <t>March 1, 2012 installment</t>
        </r>
      </text>
    </comment>
    <comment ref="I67" authorId="0">
      <text>
        <r>
          <rPr>
            <b/>
            <sz val="9"/>
            <color indexed="81"/>
            <rFont val="Tahoma"/>
            <family val="2"/>
          </rPr>
          <t>Jan 1, 2013 installment + Feb balance due</t>
        </r>
        <r>
          <rPr>
            <sz val="9"/>
            <color indexed="81"/>
            <rFont val="Tahoma"/>
            <family val="2"/>
          </rPr>
          <t xml:space="preserve">
</t>
        </r>
      </text>
    </comment>
    <comment ref="E68" authorId="0">
      <text>
        <r>
          <rPr>
            <b/>
            <sz val="12"/>
            <color indexed="10"/>
            <rFont val="Tahoma"/>
            <family val="2"/>
          </rPr>
          <t>Drawdown of LOC  per 4Q-2011 supplemtals</t>
        </r>
        <r>
          <rPr>
            <sz val="9"/>
            <color indexed="81"/>
            <rFont val="Tahoma"/>
            <family val="2"/>
          </rPr>
          <t xml:space="preserve">
</t>
        </r>
      </text>
    </comment>
    <comment ref="I68" authorId="0">
      <text>
        <r>
          <rPr>
            <b/>
            <sz val="12"/>
            <color indexed="10"/>
            <rFont val="Tahoma"/>
            <family val="2"/>
          </rPr>
          <t xml:space="preserve">Assumes repayment of the RT in full.
</t>
        </r>
      </text>
    </comment>
    <comment ref="M68" authorId="0">
      <text>
        <r>
          <rPr>
            <b/>
            <sz val="12"/>
            <color indexed="10"/>
            <rFont val="Tahoma"/>
            <family val="2"/>
          </rPr>
          <t>Assumes RT drawdown</t>
        </r>
        <r>
          <rPr>
            <sz val="12"/>
            <color indexed="10"/>
            <rFont val="Tahoma"/>
            <family val="2"/>
          </rPr>
          <t xml:space="preserve">
</t>
        </r>
      </text>
    </comment>
    <comment ref="P68" authorId="0">
      <text>
        <r>
          <rPr>
            <b/>
            <sz val="12"/>
            <color indexed="10"/>
            <rFont val="Tahoma"/>
            <family val="2"/>
          </rPr>
          <t>Assumes RT payback</t>
        </r>
        <r>
          <rPr>
            <sz val="9"/>
            <color indexed="81"/>
            <rFont val="Tahoma"/>
            <family val="2"/>
          </rPr>
          <t xml:space="preserve">
</t>
        </r>
      </text>
    </comment>
    <comment ref="D69" authorId="0">
      <text>
        <r>
          <rPr>
            <b/>
            <sz val="9"/>
            <color indexed="81"/>
            <rFont val="Tahoma"/>
            <family val="2"/>
          </rPr>
          <t>Cleared per IR</t>
        </r>
        <r>
          <rPr>
            <sz val="9"/>
            <color indexed="81"/>
            <rFont val="Tahoma"/>
            <family val="2"/>
          </rPr>
          <t xml:space="preserve">
</t>
        </r>
      </text>
    </comment>
  </commentList>
</comments>
</file>

<file path=xl/comments10.xml><?xml version="1.0" encoding="utf-8"?>
<comments xmlns="http://schemas.openxmlformats.org/spreadsheetml/2006/main">
  <authors>
    <author>Vic</author>
  </authors>
  <commentList>
    <comment ref="E17" authorId="0">
      <text>
        <r>
          <rPr>
            <b/>
            <sz val="12"/>
            <color indexed="10"/>
            <rFont val="Tahoma"/>
            <family val="2"/>
          </rPr>
          <t>Lespac sold in Nov
Canpages closed early Feb 2012 may account for revenue drop</t>
        </r>
        <r>
          <rPr>
            <sz val="9"/>
            <color indexed="81"/>
            <rFont val="Tahoma"/>
            <family val="2"/>
          </rPr>
          <t xml:space="preserve">
</t>
        </r>
      </text>
    </comment>
    <comment ref="E19" authorId="0">
      <text>
        <r>
          <rPr>
            <b/>
            <sz val="12"/>
            <color indexed="10"/>
            <rFont val="Tahoma"/>
            <family val="2"/>
          </rPr>
          <t>Closure of higher-cost Canpages  boosted margins</t>
        </r>
        <r>
          <rPr>
            <sz val="9"/>
            <color indexed="81"/>
            <rFont val="Tahoma"/>
            <family val="2"/>
          </rPr>
          <t xml:space="preserve">
</t>
        </r>
      </text>
    </comment>
    <comment ref="E30" authorId="0">
      <text>
        <r>
          <rPr>
            <b/>
            <sz val="9"/>
            <color indexed="10"/>
            <rFont val="Tahoma"/>
            <family val="2"/>
          </rPr>
          <t>Interest on RT draw-down of $239 million on Feb 9th</t>
        </r>
        <r>
          <rPr>
            <sz val="9"/>
            <color indexed="10"/>
            <rFont val="Tahoma"/>
            <family val="2"/>
          </rPr>
          <t xml:space="preserve">
</t>
        </r>
      </text>
    </comment>
    <comment ref="M30" authorId="0">
      <text>
        <r>
          <rPr>
            <b/>
            <sz val="12"/>
            <color indexed="10"/>
            <rFont val="Tahoma"/>
            <family val="2"/>
          </rPr>
          <t>Assumes RT drawdown</t>
        </r>
      </text>
    </comment>
    <comment ref="L32" authorId="0">
      <text>
        <r>
          <rPr>
            <b/>
            <sz val="12"/>
            <color indexed="10"/>
            <rFont val="Tahoma"/>
            <family val="2"/>
          </rPr>
          <t>Assumes conversion to common shares</t>
        </r>
        <r>
          <rPr>
            <sz val="9"/>
            <color indexed="81"/>
            <rFont val="Tahoma"/>
            <family val="2"/>
          </rPr>
          <t xml:space="preserve">
</t>
        </r>
      </text>
    </comment>
    <comment ref="E44" authorId="0">
      <text>
        <r>
          <rPr>
            <b/>
            <sz val="12"/>
            <color indexed="10"/>
            <rFont val="Tahoma"/>
            <family val="2"/>
          </rPr>
          <t>Deferred consideration/other</t>
        </r>
        <r>
          <rPr>
            <sz val="9"/>
            <color indexed="81"/>
            <rFont val="Tahoma"/>
            <family val="2"/>
          </rPr>
          <t xml:space="preserve">
</t>
        </r>
      </text>
    </comment>
    <comment ref="E46" authorId="0">
      <text>
        <r>
          <rPr>
            <b/>
            <sz val="12"/>
            <color indexed="10"/>
            <rFont val="Tahoma"/>
            <family val="2"/>
          </rPr>
          <t>2012 taxes = $125E</t>
        </r>
        <r>
          <rPr>
            <b/>
            <sz val="9"/>
            <color indexed="81"/>
            <rFont val="Tahoma"/>
            <family val="2"/>
          </rPr>
          <t xml:space="preserve">
</t>
        </r>
      </text>
    </comment>
    <comment ref="B49" authorId="0">
      <text>
        <r>
          <rPr>
            <b/>
            <sz val="9"/>
            <color indexed="81"/>
            <rFont val="Tahoma"/>
            <family val="2"/>
          </rPr>
          <t>Consolidated stmt of Cash Flows</t>
        </r>
        <r>
          <rPr>
            <sz val="9"/>
            <color indexed="81"/>
            <rFont val="Tahoma"/>
            <family val="2"/>
          </rPr>
          <t xml:space="preserve">
</t>
        </r>
      </text>
    </comment>
    <comment ref="E50" authorId="0">
      <text>
        <r>
          <rPr>
            <b/>
            <sz val="10"/>
            <color indexed="10"/>
            <rFont val="Tahoma"/>
            <family val="2"/>
          </rPr>
          <t>Adjusted from $42.7 for unidentified items.</t>
        </r>
      </text>
    </comment>
    <comment ref="D59" authorId="0">
      <text>
        <r>
          <rPr>
            <b/>
            <sz val="12"/>
            <color indexed="10"/>
            <rFont val="Tahoma"/>
            <family val="2"/>
          </rPr>
          <t>Lespac sale</t>
        </r>
        <r>
          <rPr>
            <sz val="9"/>
            <color indexed="81"/>
            <rFont val="Tahoma"/>
            <family val="2"/>
          </rPr>
          <t xml:space="preserve">
</t>
        </r>
      </text>
    </comment>
    <comment ref="D67" authorId="0">
      <text>
        <r>
          <rPr>
            <b/>
            <sz val="9"/>
            <color indexed="81"/>
            <rFont val="Tahoma"/>
            <family val="2"/>
          </rPr>
          <t xml:space="preserve">Cleared per IR </t>
        </r>
        <r>
          <rPr>
            <sz val="9"/>
            <color indexed="81"/>
            <rFont val="Tahoma"/>
            <family val="2"/>
          </rPr>
          <t xml:space="preserve">
</t>
        </r>
      </text>
    </comment>
    <comment ref="E67" authorId="0">
      <text>
        <r>
          <rPr>
            <b/>
            <sz val="12"/>
            <color indexed="10"/>
            <rFont val="Tahoma"/>
            <family val="2"/>
          </rPr>
          <t xml:space="preserve">Jan 1. 2012 installment </t>
        </r>
        <r>
          <rPr>
            <sz val="9"/>
            <color indexed="81"/>
            <rFont val="Tahoma"/>
            <family val="2"/>
          </rPr>
          <t xml:space="preserve">
</t>
        </r>
      </text>
    </comment>
    <comment ref="I67" authorId="0">
      <text>
        <r>
          <rPr>
            <b/>
            <sz val="9"/>
            <color indexed="81"/>
            <rFont val="Tahoma"/>
            <family val="2"/>
          </rPr>
          <t>Jan 1, 2013 installment + Feb balance due</t>
        </r>
        <r>
          <rPr>
            <sz val="9"/>
            <color indexed="81"/>
            <rFont val="Tahoma"/>
            <family val="2"/>
          </rPr>
          <t xml:space="preserve">
</t>
        </r>
      </text>
    </comment>
    <comment ref="E68" authorId="0">
      <text>
        <r>
          <rPr>
            <b/>
            <sz val="12"/>
            <color indexed="10"/>
            <rFont val="Tahoma"/>
            <family val="2"/>
          </rPr>
          <t>Drawdown of LOC  per 4Q-2011 supplemtals</t>
        </r>
        <r>
          <rPr>
            <sz val="9"/>
            <color indexed="81"/>
            <rFont val="Tahoma"/>
            <family val="2"/>
          </rPr>
          <t xml:space="preserve">
</t>
        </r>
      </text>
    </comment>
    <comment ref="I68" authorId="0">
      <text>
        <r>
          <rPr>
            <b/>
            <sz val="12"/>
            <color indexed="10"/>
            <rFont val="Tahoma"/>
            <family val="2"/>
          </rPr>
          <t xml:space="preserve">Assumes repayment of the RT in full.
</t>
        </r>
      </text>
    </comment>
    <comment ref="M68" authorId="0">
      <text>
        <r>
          <rPr>
            <b/>
            <sz val="12"/>
            <color indexed="10"/>
            <rFont val="Tahoma"/>
            <family val="2"/>
          </rPr>
          <t>Assumes RT drawdown</t>
        </r>
        <r>
          <rPr>
            <sz val="12"/>
            <color indexed="10"/>
            <rFont val="Tahoma"/>
            <family val="2"/>
          </rPr>
          <t xml:space="preserve">
</t>
        </r>
      </text>
    </comment>
    <comment ref="P68" authorId="0">
      <text>
        <r>
          <rPr>
            <b/>
            <sz val="12"/>
            <color indexed="10"/>
            <rFont val="Tahoma"/>
            <family val="2"/>
          </rPr>
          <t>Assumes RT payback</t>
        </r>
        <r>
          <rPr>
            <sz val="9"/>
            <color indexed="81"/>
            <rFont val="Tahoma"/>
            <family val="2"/>
          </rPr>
          <t xml:space="preserve">
</t>
        </r>
      </text>
    </comment>
    <comment ref="D69" authorId="0">
      <text>
        <r>
          <rPr>
            <b/>
            <sz val="9"/>
            <color indexed="81"/>
            <rFont val="Tahoma"/>
            <family val="2"/>
          </rPr>
          <t>Cleared per IR</t>
        </r>
        <r>
          <rPr>
            <sz val="9"/>
            <color indexed="81"/>
            <rFont val="Tahoma"/>
            <family val="2"/>
          </rPr>
          <t xml:space="preserve">
</t>
        </r>
      </text>
    </comment>
  </commentList>
</comments>
</file>

<file path=xl/comments11.xml><?xml version="1.0" encoding="utf-8"?>
<comments xmlns="http://schemas.openxmlformats.org/spreadsheetml/2006/main">
  <authors>
    <author>Vic</author>
  </authors>
  <commentList>
    <comment ref="M30" authorId="0">
      <text>
        <r>
          <rPr>
            <b/>
            <sz val="12"/>
            <color indexed="10"/>
            <rFont val="Tahoma"/>
            <family val="2"/>
          </rPr>
          <t>Assumes RT drawdown</t>
        </r>
      </text>
    </comment>
    <comment ref="L32" authorId="0">
      <text>
        <r>
          <rPr>
            <b/>
            <sz val="12"/>
            <color indexed="10"/>
            <rFont val="Tahoma"/>
            <family val="2"/>
          </rPr>
          <t>Assumes conversion to common shares</t>
        </r>
        <r>
          <rPr>
            <sz val="9"/>
            <color indexed="81"/>
            <rFont val="Tahoma"/>
            <family val="2"/>
          </rPr>
          <t xml:space="preserve">
</t>
        </r>
      </text>
    </comment>
    <comment ref="D56" authorId="0">
      <text>
        <r>
          <rPr>
            <b/>
            <sz val="12"/>
            <color indexed="10"/>
            <rFont val="Tahoma"/>
            <family val="2"/>
          </rPr>
          <t>Lespac sale</t>
        </r>
        <r>
          <rPr>
            <sz val="9"/>
            <color indexed="81"/>
            <rFont val="Tahoma"/>
            <family val="2"/>
          </rPr>
          <t xml:space="preserve">
</t>
        </r>
      </text>
    </comment>
    <comment ref="D64" authorId="0">
      <text>
        <r>
          <rPr>
            <b/>
            <sz val="9"/>
            <color indexed="81"/>
            <rFont val="Tahoma"/>
            <family val="2"/>
          </rPr>
          <t xml:space="preserve">Cleared per IR </t>
        </r>
        <r>
          <rPr>
            <sz val="9"/>
            <color indexed="81"/>
            <rFont val="Tahoma"/>
            <family val="2"/>
          </rPr>
          <t xml:space="preserve">
</t>
        </r>
      </text>
    </comment>
    <comment ref="E64" authorId="0">
      <text>
        <r>
          <rPr>
            <b/>
            <sz val="12"/>
            <color indexed="10"/>
            <rFont val="Tahoma"/>
            <family val="2"/>
          </rPr>
          <t xml:space="preserve">Jan 1. 2012 installment </t>
        </r>
        <r>
          <rPr>
            <sz val="9"/>
            <color indexed="81"/>
            <rFont val="Tahoma"/>
            <family val="2"/>
          </rPr>
          <t xml:space="preserve">
</t>
        </r>
      </text>
    </comment>
    <comment ref="I64" authorId="0">
      <text>
        <r>
          <rPr>
            <b/>
            <sz val="9"/>
            <color indexed="81"/>
            <rFont val="Tahoma"/>
            <family val="2"/>
          </rPr>
          <t>Jan 1, 2013 installment + Feb balance due</t>
        </r>
        <r>
          <rPr>
            <sz val="9"/>
            <color indexed="81"/>
            <rFont val="Tahoma"/>
            <family val="2"/>
          </rPr>
          <t xml:space="preserve">
</t>
        </r>
      </text>
    </comment>
    <comment ref="E65" authorId="0">
      <text>
        <r>
          <rPr>
            <b/>
            <sz val="12"/>
            <color indexed="10"/>
            <rFont val="Tahoma"/>
            <family val="2"/>
          </rPr>
          <t>Drawdown of LOC  per 4Q-2011 supplemtals</t>
        </r>
        <r>
          <rPr>
            <sz val="9"/>
            <color indexed="81"/>
            <rFont val="Tahoma"/>
            <family val="2"/>
          </rPr>
          <t xml:space="preserve">
</t>
        </r>
      </text>
    </comment>
    <comment ref="I65" authorId="0">
      <text>
        <r>
          <rPr>
            <b/>
            <sz val="12"/>
            <color indexed="10"/>
            <rFont val="Tahoma"/>
            <family val="2"/>
          </rPr>
          <t xml:space="preserve">Assumes repayment of the RT in full.
</t>
        </r>
      </text>
    </comment>
    <comment ref="M65" authorId="0">
      <text>
        <r>
          <rPr>
            <b/>
            <sz val="12"/>
            <color indexed="10"/>
            <rFont val="Tahoma"/>
            <family val="2"/>
          </rPr>
          <t>Assumes RT drawdown</t>
        </r>
        <r>
          <rPr>
            <sz val="12"/>
            <color indexed="10"/>
            <rFont val="Tahoma"/>
            <family val="2"/>
          </rPr>
          <t xml:space="preserve">
</t>
        </r>
      </text>
    </comment>
    <comment ref="P65" authorId="0">
      <text>
        <r>
          <rPr>
            <b/>
            <sz val="12"/>
            <color indexed="10"/>
            <rFont val="Tahoma"/>
            <family val="2"/>
          </rPr>
          <t>Assumes RT payback</t>
        </r>
        <r>
          <rPr>
            <sz val="9"/>
            <color indexed="81"/>
            <rFont val="Tahoma"/>
            <family val="2"/>
          </rPr>
          <t xml:space="preserve">
</t>
        </r>
      </text>
    </comment>
    <comment ref="D66" authorId="0">
      <text>
        <r>
          <rPr>
            <b/>
            <sz val="9"/>
            <color indexed="81"/>
            <rFont val="Tahoma"/>
            <family val="2"/>
          </rPr>
          <t>Cleared per IR</t>
        </r>
        <r>
          <rPr>
            <sz val="9"/>
            <color indexed="81"/>
            <rFont val="Tahoma"/>
            <family val="2"/>
          </rPr>
          <t xml:space="preserve">
</t>
        </r>
      </text>
    </comment>
  </commentList>
</comments>
</file>

<file path=xl/comments12.xml><?xml version="1.0" encoding="utf-8"?>
<comments xmlns="http://schemas.openxmlformats.org/spreadsheetml/2006/main">
  <authors>
    <author>Vic</author>
  </authors>
  <commentList>
    <comment ref="D33" authorId="0">
      <text>
        <r>
          <rPr>
            <b/>
            <sz val="9"/>
            <color indexed="81"/>
            <rFont val="Tahoma"/>
            <family val="2"/>
          </rPr>
          <t>Lespac sale</t>
        </r>
        <r>
          <rPr>
            <sz val="9"/>
            <color indexed="81"/>
            <rFont val="Tahoma"/>
            <family val="2"/>
          </rPr>
          <t xml:space="preserve">
</t>
        </r>
      </text>
    </comment>
    <comment ref="D37" authorId="0">
      <text>
        <r>
          <rPr>
            <b/>
            <sz val="9"/>
            <color indexed="81"/>
            <rFont val="Tahoma"/>
            <family val="2"/>
          </rPr>
          <t>Cleared per IR - John</t>
        </r>
        <r>
          <rPr>
            <sz val="9"/>
            <color indexed="81"/>
            <rFont val="Tahoma"/>
            <family val="2"/>
          </rPr>
          <t xml:space="preserve">
</t>
        </r>
      </text>
    </comment>
    <comment ref="D38" authorId="0">
      <text>
        <r>
          <rPr>
            <b/>
            <sz val="9"/>
            <color indexed="81"/>
            <rFont val="Tahoma"/>
            <family val="2"/>
          </rPr>
          <t>Cleared per IR - John</t>
        </r>
        <r>
          <rPr>
            <sz val="9"/>
            <color indexed="81"/>
            <rFont val="Tahoma"/>
            <family val="2"/>
          </rPr>
          <t xml:space="preserve">
</t>
        </r>
      </text>
    </comment>
  </commentList>
</comments>
</file>

<file path=xl/sharedStrings.xml><?xml version="1.0" encoding="utf-8"?>
<sst xmlns="http://schemas.openxmlformats.org/spreadsheetml/2006/main" count="1648" uniqueCount="226">
  <si>
    <t>Credit Facility</t>
  </si>
  <si>
    <t>2012 - Q1</t>
  </si>
  <si>
    <t>2012 - Q2</t>
  </si>
  <si>
    <t>2012 - Q3</t>
  </si>
  <si>
    <t>2012 - Q4</t>
  </si>
  <si>
    <t>2013 - Q1</t>
  </si>
  <si>
    <t>2013 - Q2</t>
  </si>
  <si>
    <t>2013 - Q3</t>
  </si>
  <si>
    <t>2013 - Q4</t>
  </si>
  <si>
    <t>2014 - Q1</t>
  </si>
  <si>
    <t>2014 - Q2</t>
  </si>
  <si>
    <t>2014 - Q3</t>
  </si>
  <si>
    <t>2014 - Q4</t>
  </si>
  <si>
    <t>Tax installments</t>
  </si>
  <si>
    <t>Medium Term Notes</t>
  </si>
  <si>
    <t>A</t>
  </si>
  <si>
    <t>Gross operating profit</t>
  </si>
  <si>
    <t>Interest expense</t>
  </si>
  <si>
    <t>Income taxes</t>
  </si>
  <si>
    <t>Dividends</t>
  </si>
  <si>
    <t>2011 - Q4</t>
  </si>
  <si>
    <t>Total payouts</t>
  </si>
  <si>
    <t>Debt</t>
  </si>
  <si>
    <t>Accumulated flow</t>
  </si>
  <si>
    <t>series</t>
  </si>
  <si>
    <t>Commercial paper</t>
  </si>
  <si>
    <t>Dec 2013 - 6.85%</t>
  </si>
  <si>
    <t>July 2013 - 6.50%</t>
  </si>
  <si>
    <t>Apr 2014 - 5.71%</t>
  </si>
  <si>
    <t>Feb 2015 - 7.30%</t>
  </si>
  <si>
    <t>Feb 2016 - 5.25%</t>
  </si>
  <si>
    <t>Nov 2019 - 5.85%</t>
  </si>
  <si>
    <t>Mar 2020 - 7.75%</t>
  </si>
  <si>
    <t>Feb 2036 - 6.25%</t>
  </si>
  <si>
    <t>Debentures  2017- 6.25%</t>
  </si>
  <si>
    <t>Cash on hand - opening</t>
  </si>
  <si>
    <t xml:space="preserve">Debt    </t>
  </si>
  <si>
    <t>Annual</t>
  </si>
  <si>
    <t>Yello Media</t>
  </si>
  <si>
    <t xml:space="preserve">Taxes </t>
  </si>
  <si>
    <t>B</t>
  </si>
  <si>
    <t>C</t>
  </si>
  <si>
    <t>D</t>
  </si>
  <si>
    <t>Excess cash for period</t>
  </si>
  <si>
    <t>(A - B)</t>
  </si>
  <si>
    <t>E</t>
  </si>
  <si>
    <t>Later</t>
  </si>
  <si>
    <t>CASH PAYOUTS</t>
  </si>
  <si>
    <t>Interest</t>
  </si>
  <si>
    <t xml:space="preserve">Annual </t>
  </si>
  <si>
    <t>(The accumulated flow is the sum of the periods to date, displaying the available cash to meet critical debt payments.)</t>
  </si>
  <si>
    <t>(C - D)</t>
  </si>
  <si>
    <t>F</t>
  </si>
  <si>
    <t>Cash flow for period</t>
  </si>
  <si>
    <t>Cash from asset sales</t>
  </si>
  <si>
    <t>O/S</t>
  </si>
  <si>
    <t>Current</t>
  </si>
  <si>
    <t>EBITDA</t>
  </si>
  <si>
    <t xml:space="preserve">Test period </t>
  </si>
  <si>
    <t xml:space="preserve">(point 9.8 - 6 month EBITDA to exceed 3.5 times test period finance charges) </t>
  </si>
  <si>
    <t>&gt; 3.5</t>
  </si>
  <si>
    <t>Subject to conversion in 2012</t>
  </si>
  <si>
    <t>6-month finance charges &gt;&gt;&gt;</t>
  </si>
  <si>
    <t xml:space="preserve">Test </t>
  </si>
  <si>
    <t>Period</t>
  </si>
  <si>
    <t>PAID</t>
  </si>
  <si>
    <t xml:space="preserve">    Preferred shares</t>
  </si>
  <si>
    <t>&lt;3.5</t>
  </si>
  <si>
    <r>
      <t xml:space="preserve">(point 9.7 - total consolidated debt </t>
    </r>
    <r>
      <rPr>
        <b/>
        <sz val="10"/>
        <color indexed="10"/>
        <rFont val="Arial"/>
        <family val="2"/>
      </rPr>
      <t>NOT</t>
    </r>
    <r>
      <rPr>
        <b/>
        <sz val="10"/>
        <rFont val="Arial"/>
        <family val="2"/>
      </rPr>
      <t xml:space="preserve"> to exceed 3.5 times extrapolated 12-month EBITDA)</t>
    </r>
  </si>
  <si>
    <t>total opening debt</t>
  </si>
  <si>
    <t>Credit Facility - 4.6%</t>
  </si>
  <si>
    <t>CAPEX</t>
  </si>
  <si>
    <t>Revised: Jan 19, 2012</t>
  </si>
  <si>
    <t>Online revenues</t>
  </si>
  <si>
    <t>Print revenues</t>
  </si>
  <si>
    <t xml:space="preserve">  Online EBITDA</t>
  </si>
  <si>
    <t>Revenue growth</t>
  </si>
  <si>
    <t xml:space="preserve">  Print EBITDA</t>
  </si>
  <si>
    <t>Gross margin  rate</t>
  </si>
  <si>
    <t>Revenue decline</t>
  </si>
  <si>
    <t>Total revenues</t>
  </si>
  <si>
    <t>Percent</t>
  </si>
  <si>
    <t>Links</t>
  </si>
  <si>
    <t>2011Q3 supplemental</t>
  </si>
  <si>
    <t>http://www.ypg.com/images/ckeditor/files/2011_Q4_SuppDisc.pdf</t>
  </si>
  <si>
    <t>2011Q4 supplemental</t>
  </si>
  <si>
    <t>http://www.ypg.com/images/ckeditor/files/2011_Q3_SuppDisc.pdf</t>
  </si>
  <si>
    <t>Credit Facility NRT 4.4%</t>
  </si>
  <si>
    <t>Credit Facility  RT  4.4%</t>
  </si>
  <si>
    <t>Credit Facility - NRT</t>
  </si>
  <si>
    <t>Credit Facility -   RT</t>
  </si>
  <si>
    <t>2011Q4 MD&amp;A</t>
  </si>
  <si>
    <t>http://www.ypg.com/images/ckeditor/files/2011_Q4_MDA.pdf</t>
  </si>
  <si>
    <t>Shares</t>
  </si>
  <si>
    <t xml:space="preserve">$     </t>
  </si>
  <si>
    <t>Adjustments for ratios</t>
  </si>
  <si>
    <t xml:space="preserve">  Cash</t>
  </si>
  <si>
    <t>Q4</t>
  </si>
  <si>
    <t>LOC</t>
  </si>
  <si>
    <t>net debt</t>
  </si>
  <si>
    <t>convertible debentures</t>
  </si>
  <si>
    <t>Interest adj (timing)</t>
  </si>
  <si>
    <t>Net inc/(loss)-disc Ops</t>
  </si>
  <si>
    <t>Balancing adjustment</t>
  </si>
  <si>
    <t>Accumulated unpaid dividends - C &amp; D's</t>
  </si>
  <si>
    <t>Online - quarterly change (+/-)</t>
  </si>
  <si>
    <t>Print    - quarterly change (+/-)</t>
  </si>
  <si>
    <t>Preferred</t>
  </si>
  <si>
    <t>Yellow Media</t>
  </si>
  <si>
    <t>Revised: March 8, 2012</t>
  </si>
  <si>
    <t>Enter the changes in decimals</t>
  </si>
  <si>
    <t xml:space="preserve">  &lt;&lt;&lt;   Note declining margins</t>
  </si>
  <si>
    <t xml:space="preserve">EBITDA Total    </t>
  </si>
  <si>
    <t>Short form prospectus:</t>
  </si>
  <si>
    <t>Other</t>
  </si>
  <si>
    <t>Other finance charges</t>
  </si>
  <si>
    <t>Pension top-up</t>
  </si>
  <si>
    <t xml:space="preserve">Income Taxes </t>
  </si>
  <si>
    <t>Change in operating assets/liabilities</t>
  </si>
  <si>
    <t>new</t>
  </si>
  <si>
    <t>2012Q4 conference call blog</t>
  </si>
  <si>
    <t>http://www.theglobeandmail.com/globe-investor/updates-from-yellow-medias-call/article2425917/</t>
  </si>
  <si>
    <t>EBITDA  rate</t>
  </si>
  <si>
    <t>Revised: May 31, 2012</t>
  </si>
  <si>
    <t>Q1</t>
  </si>
  <si>
    <t>OK</t>
  </si>
  <si>
    <t>Revised: Aug 17, 2012</t>
  </si>
  <si>
    <t>Debt remaining</t>
  </si>
  <si>
    <t>Debt change</t>
  </si>
  <si>
    <t>Quarterly</t>
  </si>
  <si>
    <t>Revised: Dec 29, 2012</t>
  </si>
  <si>
    <t>Recapitalization costs</t>
  </si>
  <si>
    <t>Restructuring costs</t>
  </si>
  <si>
    <t>PRO-FORMA - POST RECAP</t>
  </si>
  <si>
    <t>Secured notes - 9.25%</t>
  </si>
  <si>
    <t>New Debentures - 8%</t>
  </si>
  <si>
    <t>Recapitalizaion Adjustment</t>
  </si>
  <si>
    <t>Debentures  - new - 8%</t>
  </si>
  <si>
    <t>New Secured notes - 9.25%</t>
  </si>
  <si>
    <t>Warrants</t>
  </si>
  <si>
    <t>http://www.ypg.com/images/ckeditor/files/Warrant%20Indenture%20%28SEDAR%20Version%29.pdf</t>
  </si>
  <si>
    <t>Debentures (new)</t>
  </si>
  <si>
    <t>http://www.ypg.com/images/ckeditor/files/Trust%20Indenture%20re%20Senior%20Subordinated%20Exchangeable%20Debentures%20%28SEDAR%20Version%29.pdf</t>
  </si>
  <si>
    <t>Secured notes</t>
  </si>
  <si>
    <t>http://www.ypg.com/images/ckeditor/files/Trust%20Indenture%20re%20Senior%20Secured%20Notes%20%28SEDAR%20Version%29.pdf</t>
  </si>
  <si>
    <t>Pre-RECAP</t>
  </si>
  <si>
    <t>Common shares outstanding:</t>
  </si>
  <si>
    <t>Earnings (net)</t>
  </si>
  <si>
    <t>EPS from continuing operations (annualized)</t>
  </si>
  <si>
    <t>EBITDA / share (annualized)</t>
  </si>
  <si>
    <t>Adjusted earnings from continuing ops</t>
  </si>
  <si>
    <t>Revised:  Feb 12, 2013</t>
  </si>
  <si>
    <t>Cash flow from continuing operations (MM's)</t>
  </si>
  <si>
    <t>Free cash flow from cont. ops (MM's)</t>
  </si>
  <si>
    <t>CF per share (qtr)</t>
  </si>
  <si>
    <t>Free CF per share (qtr)</t>
  </si>
  <si>
    <t>Disclaimer:</t>
  </si>
  <si>
    <t>should exercise caution in relying on this information for investment purposes.  Do your own due diligence.</t>
  </si>
  <si>
    <t>Information has been selectively gleened from the financial statement, MD&amp;A, and the supplemental disclosure.</t>
  </si>
  <si>
    <t xml:space="preserve">Due to a lack of clairity from YPG management, some of the details may be subject to interpretation and as such, one </t>
  </si>
  <si>
    <t>2012-Q4  -  POST RECAP</t>
  </si>
  <si>
    <t xml:space="preserve">    (EBITDA less Dep'n / Amortization)</t>
  </si>
  <si>
    <t>Free CF per share (yr)</t>
  </si>
  <si>
    <t>Net Debt / EBITDA</t>
  </si>
  <si>
    <t>2013-Q1  -  POST RECAP</t>
  </si>
  <si>
    <t>Revised:   May 21, 2013</t>
  </si>
  <si>
    <t>Share price</t>
  </si>
  <si>
    <t>P/E ratio (annualized earnings)</t>
  </si>
  <si>
    <t>Accumulated flow (cash on hand)</t>
  </si>
  <si>
    <t>Stock based compensation</t>
  </si>
  <si>
    <t>2013-Q2  -  POST RECAP</t>
  </si>
  <si>
    <t>Revised:   August 8, 2013</t>
  </si>
  <si>
    <t>Net Debt</t>
  </si>
  <si>
    <t>2013-Q3  -  POST RECAP</t>
  </si>
  <si>
    <t>Stock-based compensation</t>
  </si>
  <si>
    <t>EPS</t>
  </si>
  <si>
    <t>Revised:   November 11, 2013</t>
  </si>
  <si>
    <t>THE PLAN</t>
  </si>
  <si>
    <t>Key Metrics</t>
  </si>
  <si>
    <t>YIELD OF CASH OUTLAYS</t>
  </si>
  <si>
    <t>Net Profit</t>
  </si>
  <si>
    <t>Earnings Yield</t>
  </si>
  <si>
    <t>For any given $1,000 block:</t>
  </si>
  <si>
    <t>When bought, calculate the total share count and the total cost laid out.</t>
  </si>
  <si>
    <t>if the stock goes up $1 from the price you purchased it, you become willing to sell that block.</t>
  </si>
  <si>
    <t>if the stock drops to $0.25 above where you purchased it, you begin to sell.</t>
  </si>
  <si>
    <t>once sold, that block becomes live again when the ask price is $0.25 below where you targeted to buy in in the first place and will be bought when it trades above your purchase price</t>
  </si>
  <si>
    <t>The idea here, is to, at any point in time, be willing to sell if the momentum of the stock is not in the right direction, and to get out at a small profit… to cut potential losses quickly and to let gains compound.</t>
  </si>
  <si>
    <t>Total Shares</t>
  </si>
  <si>
    <t>Shares to add/subtract</t>
  </si>
  <si>
    <t>Stock Price</t>
  </si>
  <si>
    <t>CloseDown Dividend Potential</t>
  </si>
  <si>
    <t>Exchange Rate</t>
  </si>
  <si>
    <t>Forex Price</t>
  </si>
  <si>
    <t>Base Currency Price</t>
  </si>
  <si>
    <t>Base Currency Asset Value</t>
  </si>
  <si>
    <t>Base Currency Borrow</t>
  </si>
  <si>
    <t>Scale Size</t>
  </si>
  <si>
    <t>Initialization Price</t>
  </si>
  <si>
    <t>Base Dollars Paid</t>
  </si>
  <si>
    <t>Base Annual Dividend Power</t>
  </si>
  <si>
    <t>Initialization Shares</t>
  </si>
  <si>
    <t>Base Flow of Funds</t>
  </si>
  <si>
    <t>Base Net Value</t>
  </si>
  <si>
    <t>Margin Factor</t>
  </si>
  <si>
    <t>Forex Liquidation Point</t>
  </si>
  <si>
    <t>Actual Liquidation price</t>
  </si>
  <si>
    <t>Warrants USD</t>
  </si>
  <si>
    <t>Total Asset Value</t>
  </si>
  <si>
    <t>SMA Leverage IF You're Reg T</t>
  </si>
  <si>
    <t>Leverage For Portfolio Margin</t>
  </si>
  <si>
    <t>$ Decline</t>
  </si>
  <si>
    <t>Percent Decline</t>
  </si>
  <si>
    <t>Debt/Dividend</t>
  </si>
  <si>
    <t>Forex Borrow</t>
  </si>
  <si>
    <t>Amount I Can Borrow</t>
  </si>
  <si>
    <t>Free CF per share (annualized)</t>
  </si>
  <si>
    <t>2015 - Q4</t>
  </si>
  <si>
    <t>2015 - Q3</t>
  </si>
  <si>
    <t>2015 - Q2</t>
  </si>
  <si>
    <t>2015 - Q1</t>
  </si>
  <si>
    <t>2013-Q4</t>
  </si>
  <si>
    <t>Revised:   February 19, 2014</t>
  </si>
  <si>
    <t>1.1 ?</t>
  </si>
  <si>
    <t>475 ?</t>
  </si>
  <si>
    <t>Revised:   February 11, 2014</t>
  </si>
</sst>
</file>

<file path=xl/styles.xml><?xml version="1.0" encoding="utf-8"?>
<styleSheet xmlns="http://schemas.openxmlformats.org/spreadsheetml/2006/main" xmlns:mc="http://schemas.openxmlformats.org/markup-compatibility/2006" xmlns:x14ac="http://schemas.microsoft.com/office/spreadsheetml/2009/9/ac" mc:Ignorable="x14ac">
  <numFmts count="15">
    <numFmt numFmtId="44" formatCode="_(&quot;$&quot;* #,##0.00_);_(&quot;$&quot;* \(#,##0.00\);_(&quot;$&quot;* &quot;-&quot;??_);_(@_)"/>
    <numFmt numFmtId="43" formatCode="_(* #,##0.00_);_(* \(#,##0.00\);_(* &quot;-&quot;??_);_(@_)"/>
    <numFmt numFmtId="164" formatCode="_-* #,##0.00_-;\-* #,##0.00_-;_-* &quot;-&quot;??_-;_-@_-"/>
    <numFmt numFmtId="165" formatCode="0.000"/>
    <numFmt numFmtId="166" formatCode="0.0"/>
    <numFmt numFmtId="167" formatCode="&quot;$&quot;#,##0.00"/>
    <numFmt numFmtId="168" formatCode="#,##0.0"/>
    <numFmt numFmtId="169" formatCode="0.0%"/>
    <numFmt numFmtId="170" formatCode="_-* #,##0_-;\-* #,##0_-;_-* &quot;-&quot;??_-;_-@_-"/>
    <numFmt numFmtId="171" formatCode="0.0_ ;[Red]\-0.0\ "/>
    <numFmt numFmtId="172" formatCode="0_ ;[Red]\-0\ "/>
    <numFmt numFmtId="173" formatCode="0.0000"/>
    <numFmt numFmtId="174" formatCode="&quot;$&quot;#,##0.0"/>
    <numFmt numFmtId="175" formatCode="_-* #,##0.0_-;\-* #,##0.0_-;_-* &quot;-&quot;?_-;_-@_-"/>
    <numFmt numFmtId="176" formatCode="_(&quot;$&quot;* #,##0_);_(&quot;$&quot;* \(#,##0\);_(&quot;$&quot;* &quot;-&quot;??_);_(@_)"/>
  </numFmts>
  <fonts count="70" x14ac:knownFonts="1">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sz val="8"/>
      <name val="Arial"/>
      <family val="2"/>
    </font>
    <font>
      <b/>
      <sz val="10"/>
      <name val="Arial"/>
      <family val="2"/>
    </font>
    <font>
      <b/>
      <u/>
      <sz val="10"/>
      <name val="Arial"/>
      <family val="2"/>
    </font>
    <font>
      <b/>
      <u/>
      <sz val="24"/>
      <name val="Arial"/>
      <family val="2"/>
    </font>
    <font>
      <sz val="9"/>
      <color indexed="81"/>
      <name val="Tahoma"/>
      <family val="2"/>
    </font>
    <font>
      <b/>
      <sz val="9"/>
      <color indexed="81"/>
      <name val="Tahoma"/>
      <family val="2"/>
    </font>
    <font>
      <b/>
      <sz val="10"/>
      <color indexed="10"/>
      <name val="Arial"/>
      <family val="2"/>
    </font>
    <font>
      <b/>
      <sz val="14"/>
      <name val="Arial"/>
      <family val="2"/>
    </font>
    <font>
      <sz val="10"/>
      <name val="Arial"/>
      <family val="2"/>
    </font>
    <font>
      <sz val="10"/>
      <color indexed="10"/>
      <name val="Arial"/>
      <family val="2"/>
    </font>
    <font>
      <b/>
      <sz val="12"/>
      <color indexed="12"/>
      <name val="Arial"/>
      <family val="2"/>
    </font>
    <font>
      <u/>
      <sz val="10"/>
      <color indexed="12"/>
      <name val="Arial"/>
      <family val="2"/>
    </font>
    <font>
      <sz val="20"/>
      <name val="Arial"/>
      <family val="2"/>
    </font>
    <font>
      <b/>
      <sz val="16"/>
      <name val="Arial Black"/>
      <family val="2"/>
    </font>
    <font>
      <b/>
      <sz val="16"/>
      <name val="Arial"/>
      <family val="2"/>
    </font>
    <font>
      <sz val="9"/>
      <name val="Arial"/>
      <family val="2"/>
    </font>
    <font>
      <b/>
      <sz val="20"/>
      <name val="Arial Black"/>
      <family val="2"/>
    </font>
    <font>
      <b/>
      <sz val="14"/>
      <color indexed="10"/>
      <name val="Arial"/>
      <family val="2"/>
    </font>
    <font>
      <sz val="11"/>
      <color indexed="8"/>
      <name val="Calibri"/>
      <family val="2"/>
    </font>
    <font>
      <sz val="11"/>
      <color indexed="9"/>
      <name val="Calibri"/>
      <family val="2"/>
    </font>
    <font>
      <sz val="11"/>
      <color indexed="20"/>
      <name val="Calibri"/>
      <family val="2"/>
    </font>
    <font>
      <b/>
      <sz val="11"/>
      <color indexed="52"/>
      <name val="Calibri"/>
      <family val="2"/>
    </font>
    <font>
      <b/>
      <sz val="11"/>
      <color indexed="9"/>
      <name val="Calibri"/>
      <family val="2"/>
    </font>
    <font>
      <i/>
      <sz val="11"/>
      <color indexed="23"/>
      <name val="Calibri"/>
      <family val="2"/>
    </font>
    <font>
      <sz val="11"/>
      <color indexed="17"/>
      <name val="Calibri"/>
      <family val="2"/>
    </font>
    <font>
      <b/>
      <sz val="15"/>
      <color indexed="56"/>
      <name val="Calibri"/>
      <family val="2"/>
    </font>
    <font>
      <b/>
      <sz val="13"/>
      <color indexed="56"/>
      <name val="Calibri"/>
      <family val="2"/>
    </font>
    <font>
      <b/>
      <sz val="11"/>
      <color indexed="56"/>
      <name val="Calibri"/>
      <family val="2"/>
    </font>
    <font>
      <sz val="11"/>
      <color indexed="62"/>
      <name val="Calibri"/>
      <family val="2"/>
    </font>
    <font>
      <sz val="11"/>
      <color indexed="52"/>
      <name val="Calibri"/>
      <family val="2"/>
    </font>
    <font>
      <sz val="11"/>
      <color indexed="60"/>
      <name val="Calibri"/>
      <family val="2"/>
    </font>
    <font>
      <b/>
      <sz val="11"/>
      <color indexed="63"/>
      <name val="Calibri"/>
      <family val="2"/>
    </font>
    <font>
      <b/>
      <sz val="18"/>
      <color indexed="56"/>
      <name val="Cambria"/>
      <family val="2"/>
    </font>
    <font>
      <b/>
      <sz val="11"/>
      <color indexed="8"/>
      <name val="Calibri"/>
      <family val="2"/>
    </font>
    <font>
      <sz val="11"/>
      <color indexed="10"/>
      <name val="Calibri"/>
      <family val="2"/>
    </font>
    <font>
      <b/>
      <sz val="12"/>
      <color indexed="10"/>
      <name val="Tahoma"/>
      <family val="2"/>
    </font>
    <font>
      <sz val="12"/>
      <color indexed="10"/>
      <name val="Tahoma"/>
      <family val="2"/>
    </font>
    <font>
      <b/>
      <sz val="11"/>
      <color indexed="10"/>
      <name val="Arial"/>
      <family val="2"/>
    </font>
    <font>
      <sz val="13"/>
      <name val="Arial"/>
      <family val="2"/>
    </font>
    <font>
      <b/>
      <sz val="13"/>
      <color indexed="10"/>
      <name val="Arial"/>
      <family val="2"/>
    </font>
    <font>
      <b/>
      <sz val="13"/>
      <name val="Arial"/>
      <family val="2"/>
    </font>
    <font>
      <b/>
      <sz val="12"/>
      <name val="Arial"/>
      <family val="2"/>
    </font>
    <font>
      <b/>
      <sz val="10"/>
      <color indexed="10"/>
      <name val="Tahoma"/>
      <family val="2"/>
    </font>
    <font>
      <b/>
      <sz val="9"/>
      <color indexed="10"/>
      <name val="Tahoma"/>
      <family val="2"/>
    </font>
    <font>
      <sz val="9"/>
      <color indexed="10"/>
      <name val="Tahoma"/>
      <family val="2"/>
    </font>
    <font>
      <b/>
      <sz val="14"/>
      <color indexed="10"/>
      <name val="Tahoma"/>
      <family val="2"/>
    </font>
    <font>
      <b/>
      <sz val="12"/>
      <color indexed="10"/>
      <name val="Arial"/>
      <family val="2"/>
    </font>
    <font>
      <b/>
      <sz val="16"/>
      <color indexed="10"/>
      <name val="Tahoma"/>
      <family val="2"/>
    </font>
    <font>
      <b/>
      <sz val="20"/>
      <color indexed="62"/>
      <name val="Arial"/>
      <family val="2"/>
    </font>
    <font>
      <b/>
      <u/>
      <sz val="14"/>
      <color indexed="10"/>
      <name val="Arial"/>
      <family val="2"/>
    </font>
    <font>
      <b/>
      <sz val="12"/>
      <color indexed="21"/>
      <name val="Arial"/>
      <family val="2"/>
    </font>
    <font>
      <b/>
      <sz val="20"/>
      <color indexed="21"/>
      <name val="Arial"/>
      <family val="2"/>
    </font>
    <font>
      <sz val="12"/>
      <name val="Arial"/>
      <family val="2"/>
    </font>
    <font>
      <sz val="12"/>
      <name val="Arial"/>
      <family val="2"/>
    </font>
    <font>
      <b/>
      <sz val="12"/>
      <name val="Arial"/>
      <family val="2"/>
    </font>
    <font>
      <b/>
      <sz val="16"/>
      <color indexed="10"/>
      <name val="Arial"/>
      <family val="2"/>
    </font>
    <font>
      <b/>
      <u/>
      <sz val="16"/>
      <color indexed="10"/>
      <name val="Arial"/>
      <family val="2"/>
    </font>
    <font>
      <b/>
      <sz val="14"/>
      <color indexed="81"/>
      <name val="Tahoma"/>
      <family val="2"/>
    </font>
    <font>
      <b/>
      <sz val="12"/>
      <color indexed="17"/>
      <name val="Arial"/>
      <family val="2"/>
    </font>
    <font>
      <u/>
      <sz val="11"/>
      <color theme="10"/>
      <name val="Calibri"/>
      <family val="2"/>
      <scheme val="minor"/>
    </font>
    <font>
      <sz val="10"/>
      <name val="Arial"/>
      <family val="2"/>
    </font>
    <font>
      <sz val="10"/>
      <name val="Arial"/>
      <family val="2"/>
    </font>
    <font>
      <sz val="12"/>
      <color indexed="81"/>
      <name val="Tahoma"/>
      <family val="2"/>
    </font>
  </fonts>
  <fills count="39">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55"/>
      </patternFill>
    </fill>
    <fill>
      <patternFill patternType="solid">
        <fgColor indexed="43"/>
      </patternFill>
    </fill>
    <fill>
      <patternFill patternType="solid">
        <fgColor indexed="26"/>
      </patternFill>
    </fill>
    <fill>
      <patternFill patternType="solid">
        <fgColor indexed="13"/>
        <bgColor indexed="64"/>
      </patternFill>
    </fill>
    <fill>
      <patternFill patternType="solid">
        <fgColor indexed="15"/>
        <bgColor indexed="64"/>
      </patternFill>
    </fill>
    <fill>
      <patternFill patternType="solid">
        <fgColor indexed="47"/>
        <bgColor indexed="64"/>
      </patternFill>
    </fill>
    <fill>
      <patternFill patternType="solid">
        <fgColor indexed="42"/>
        <bgColor indexed="64"/>
      </patternFill>
    </fill>
    <fill>
      <patternFill patternType="solid">
        <fgColor indexed="45"/>
        <bgColor indexed="64"/>
      </patternFill>
    </fill>
    <fill>
      <patternFill patternType="solid">
        <fgColor indexed="49"/>
        <bgColor indexed="64"/>
      </patternFill>
    </fill>
    <fill>
      <patternFill patternType="solid">
        <fgColor indexed="52"/>
        <bgColor indexed="64"/>
      </patternFill>
    </fill>
    <fill>
      <patternFill patternType="solid">
        <fgColor indexed="22"/>
        <bgColor indexed="64"/>
      </patternFill>
    </fill>
    <fill>
      <patternFill patternType="solid">
        <fgColor indexed="41"/>
        <bgColor indexed="64"/>
      </patternFill>
    </fill>
    <fill>
      <patternFill patternType="solid">
        <fgColor indexed="51"/>
        <bgColor indexed="64"/>
      </patternFill>
    </fill>
    <fill>
      <patternFill patternType="solid">
        <fgColor indexed="44"/>
        <bgColor indexed="64"/>
      </patternFill>
    </fill>
    <fill>
      <patternFill patternType="solid">
        <fgColor theme="0"/>
        <bgColor indexed="64"/>
      </patternFill>
    </fill>
    <fill>
      <patternFill patternType="solid">
        <fgColor theme="0" tint="-0.249977111117893"/>
        <bgColor indexed="64"/>
      </patternFill>
    </fill>
    <fill>
      <patternFill patternType="solid">
        <fgColor rgb="FFFFFF00"/>
        <bgColor indexed="64"/>
      </patternFill>
    </fill>
    <fill>
      <patternFill patternType="solid">
        <fgColor rgb="FFFF0000"/>
        <bgColor indexed="64"/>
      </patternFill>
    </fill>
  </fills>
  <borders count="63">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bottom style="thin">
        <color indexed="64"/>
      </bottom>
      <diagonal/>
    </border>
    <border>
      <left style="medium">
        <color indexed="64"/>
      </left>
      <right style="medium">
        <color indexed="64"/>
      </right>
      <top style="medium">
        <color indexed="64"/>
      </top>
      <bottom style="medium">
        <color indexed="64"/>
      </bottom>
      <diagonal/>
    </border>
    <border>
      <left/>
      <right/>
      <top/>
      <bottom style="double">
        <color indexed="64"/>
      </bottom>
      <diagonal/>
    </border>
    <border>
      <left/>
      <right/>
      <top style="thin">
        <color indexed="64"/>
      </top>
      <bottom style="double">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double">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double">
        <color indexed="64"/>
      </bottom>
      <diagonal/>
    </border>
    <border>
      <left/>
      <right style="thin">
        <color indexed="64"/>
      </right>
      <top style="thin">
        <color indexed="64"/>
      </top>
      <bottom style="double">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right style="thin">
        <color indexed="64"/>
      </right>
      <top/>
      <bottom/>
      <diagonal/>
    </border>
    <border>
      <left style="thin">
        <color indexed="64"/>
      </left>
      <right/>
      <top/>
      <bottom/>
      <diagonal/>
    </border>
    <border>
      <left/>
      <right/>
      <top style="medium">
        <color indexed="64"/>
      </top>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style="thin">
        <color indexed="64"/>
      </top>
      <bottom style="double">
        <color indexed="64"/>
      </bottom>
      <diagonal/>
    </border>
    <border>
      <left style="medium">
        <color indexed="64"/>
      </left>
      <right style="medium">
        <color indexed="64"/>
      </right>
      <top/>
      <bottom style="thin">
        <color indexed="64"/>
      </bottom>
      <diagonal/>
    </border>
    <border>
      <left style="medium">
        <color indexed="64"/>
      </left>
      <right style="medium">
        <color indexed="64"/>
      </right>
      <top/>
      <bottom style="medium">
        <color indexed="64"/>
      </bottom>
      <diagonal/>
    </border>
    <border>
      <left style="medium">
        <color indexed="64"/>
      </left>
      <right/>
      <top/>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medium">
        <color indexed="64"/>
      </left>
      <right/>
      <top style="medium">
        <color indexed="64"/>
      </top>
      <bottom/>
      <diagonal/>
    </border>
    <border>
      <left/>
      <right style="medium">
        <color indexed="64"/>
      </right>
      <top style="medium">
        <color indexed="64"/>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style="medium">
        <color indexed="64"/>
      </right>
      <top style="thin">
        <color indexed="64"/>
      </top>
      <bottom style="double">
        <color indexed="64"/>
      </bottom>
      <diagonal/>
    </border>
    <border>
      <left/>
      <right style="medium">
        <color indexed="64"/>
      </right>
      <top style="thin">
        <color indexed="64"/>
      </top>
      <bottom style="thin">
        <color indexed="64"/>
      </bottom>
      <diagonal/>
    </border>
    <border>
      <left/>
      <right style="medium">
        <color indexed="64"/>
      </right>
      <top/>
      <bottom style="thin">
        <color indexed="64"/>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right/>
      <top style="thin">
        <color indexed="64"/>
      </top>
      <bottom style="medium">
        <color indexed="64"/>
      </bottom>
      <diagonal/>
    </border>
  </borders>
  <cellStyleXfs count="52">
    <xf numFmtId="0" fontId="0" fillId="0" borderId="0"/>
    <xf numFmtId="0" fontId="25" fillId="2" borderId="0" applyNumberFormat="0" applyBorder="0" applyAlignment="0" applyProtection="0"/>
    <xf numFmtId="0" fontId="25" fillId="3" borderId="0" applyNumberFormat="0" applyBorder="0" applyAlignment="0" applyProtection="0"/>
    <xf numFmtId="0" fontId="25" fillId="4" borderId="0" applyNumberFormat="0" applyBorder="0" applyAlignment="0" applyProtection="0"/>
    <xf numFmtId="0" fontId="25" fillId="5" borderId="0" applyNumberFormat="0" applyBorder="0" applyAlignment="0" applyProtection="0"/>
    <xf numFmtId="0" fontId="25" fillId="6" borderId="0" applyNumberFormat="0" applyBorder="0" applyAlignment="0" applyProtection="0"/>
    <xf numFmtId="0" fontId="25" fillId="7" borderId="0" applyNumberFormat="0" applyBorder="0" applyAlignment="0" applyProtection="0"/>
    <xf numFmtId="0" fontId="25" fillId="8" borderId="0" applyNumberFormat="0" applyBorder="0" applyAlignment="0" applyProtection="0"/>
    <xf numFmtId="0" fontId="25" fillId="9" borderId="0" applyNumberFormat="0" applyBorder="0" applyAlignment="0" applyProtection="0"/>
    <xf numFmtId="0" fontId="25" fillId="10" borderId="0" applyNumberFormat="0" applyBorder="0" applyAlignment="0" applyProtection="0"/>
    <xf numFmtId="0" fontId="25" fillId="5" borderId="0" applyNumberFormat="0" applyBorder="0" applyAlignment="0" applyProtection="0"/>
    <xf numFmtId="0" fontId="25" fillId="8" borderId="0" applyNumberFormat="0" applyBorder="0" applyAlignment="0" applyProtection="0"/>
    <xf numFmtId="0" fontId="25" fillId="11" borderId="0" applyNumberFormat="0" applyBorder="0" applyAlignment="0" applyProtection="0"/>
    <xf numFmtId="0" fontId="26" fillId="12" borderId="0" applyNumberFormat="0" applyBorder="0" applyAlignment="0" applyProtection="0"/>
    <xf numFmtId="0" fontId="26" fillId="9" borderId="0" applyNumberFormat="0" applyBorder="0" applyAlignment="0" applyProtection="0"/>
    <xf numFmtId="0" fontId="26" fillId="10" borderId="0" applyNumberFormat="0" applyBorder="0" applyAlignment="0" applyProtection="0"/>
    <xf numFmtId="0" fontId="26" fillId="13" borderId="0" applyNumberFormat="0" applyBorder="0" applyAlignment="0" applyProtection="0"/>
    <xf numFmtId="0" fontId="26" fillId="14" borderId="0" applyNumberFormat="0" applyBorder="0" applyAlignment="0" applyProtection="0"/>
    <xf numFmtId="0" fontId="26" fillId="15" borderId="0" applyNumberFormat="0" applyBorder="0" applyAlignment="0" applyProtection="0"/>
    <xf numFmtId="0" fontId="26" fillId="16" borderId="0" applyNumberFormat="0" applyBorder="0" applyAlignment="0" applyProtection="0"/>
    <xf numFmtId="0" fontId="26" fillId="17" borderId="0" applyNumberFormat="0" applyBorder="0" applyAlignment="0" applyProtection="0"/>
    <xf numFmtId="0" fontId="26" fillId="18" borderId="0" applyNumberFormat="0" applyBorder="0" applyAlignment="0" applyProtection="0"/>
    <xf numFmtId="0" fontId="26" fillId="13" borderId="0" applyNumberFormat="0" applyBorder="0" applyAlignment="0" applyProtection="0"/>
    <xf numFmtId="0" fontId="26" fillId="14" borderId="0" applyNumberFormat="0" applyBorder="0" applyAlignment="0" applyProtection="0"/>
    <xf numFmtId="0" fontId="26" fillId="19" borderId="0" applyNumberFormat="0" applyBorder="0" applyAlignment="0" applyProtection="0"/>
    <xf numFmtId="0" fontId="27" fillId="3" borderId="0" applyNumberFormat="0" applyBorder="0" applyAlignment="0" applyProtection="0"/>
    <xf numFmtId="0" fontId="28" fillId="20" borderId="1" applyNumberFormat="0" applyAlignment="0" applyProtection="0"/>
    <xf numFmtId="0" fontId="29" fillId="21" borderId="2" applyNumberFormat="0" applyAlignment="0" applyProtection="0"/>
    <xf numFmtId="164" fontId="6" fillId="0" borderId="0" applyFont="0" applyFill="0" applyBorder="0" applyAlignment="0" applyProtection="0"/>
    <xf numFmtId="0" fontId="30" fillId="0" borderId="0" applyNumberFormat="0" applyFill="0" applyBorder="0" applyAlignment="0" applyProtection="0"/>
    <xf numFmtId="0" fontId="31" fillId="4" borderId="0" applyNumberFormat="0" applyBorder="0" applyAlignment="0" applyProtection="0"/>
    <xf numFmtId="0" fontId="32" fillId="0" borderId="3" applyNumberFormat="0" applyFill="0" applyAlignment="0" applyProtection="0"/>
    <xf numFmtId="0" fontId="33" fillId="0" borderId="4" applyNumberFormat="0" applyFill="0" applyAlignment="0" applyProtection="0"/>
    <xf numFmtId="0" fontId="34" fillId="0" borderId="5" applyNumberFormat="0" applyFill="0" applyAlignment="0" applyProtection="0"/>
    <xf numFmtId="0" fontId="34" fillId="0" borderId="0" applyNumberFormat="0" applyFill="0" applyBorder="0" applyAlignment="0" applyProtection="0"/>
    <xf numFmtId="0" fontId="18" fillId="0" borderId="0" applyNumberFormat="0" applyFill="0" applyBorder="0" applyAlignment="0" applyProtection="0">
      <alignment vertical="top"/>
      <protection locked="0"/>
    </xf>
    <xf numFmtId="0" fontId="35" fillId="7" borderId="1" applyNumberFormat="0" applyAlignment="0" applyProtection="0"/>
    <xf numFmtId="0" fontId="36" fillId="0" borderId="6" applyNumberFormat="0" applyFill="0" applyAlignment="0" applyProtection="0"/>
    <xf numFmtId="0" fontId="37" fillId="22" borderId="0" applyNumberFormat="0" applyBorder="0" applyAlignment="0" applyProtection="0"/>
    <xf numFmtId="0" fontId="6" fillId="23" borderId="7" applyNumberFormat="0" applyFont="0" applyAlignment="0" applyProtection="0"/>
    <xf numFmtId="0" fontId="38" fillId="20" borderId="8" applyNumberFormat="0" applyAlignment="0" applyProtection="0"/>
    <xf numFmtId="0" fontId="39" fillId="0" borderId="0" applyNumberFormat="0" applyFill="0" applyBorder="0" applyAlignment="0" applyProtection="0"/>
    <xf numFmtId="0" fontId="40" fillId="0" borderId="9" applyNumberFormat="0" applyFill="0" applyAlignment="0" applyProtection="0"/>
    <xf numFmtId="0" fontId="41" fillId="0" borderId="0" applyNumberFormat="0" applyFill="0" applyBorder="0" applyAlignment="0" applyProtection="0"/>
    <xf numFmtId="0" fontId="5" fillId="0" borderId="0"/>
    <xf numFmtId="0" fontId="66" fillId="0" borderId="0" applyNumberFormat="0" applyFill="0" applyBorder="0" applyAlignment="0" applyProtection="0"/>
    <xf numFmtId="44" fontId="5" fillId="0" borderId="0" applyFont="0" applyFill="0" applyBorder="0" applyAlignment="0" applyProtection="0"/>
    <xf numFmtId="43" fontId="5" fillId="0" borderId="0" applyFont="0" applyFill="0" applyBorder="0" applyAlignment="0" applyProtection="0"/>
    <xf numFmtId="9" fontId="5" fillId="0" borderId="0" applyFont="0" applyFill="0" applyBorder="0" applyAlignment="0" applyProtection="0"/>
    <xf numFmtId="44" fontId="67" fillId="0" borderId="0" applyFont="0" applyFill="0" applyBorder="0" applyAlignment="0" applyProtection="0"/>
    <xf numFmtId="9" fontId="68" fillId="0" borderId="0" applyFont="0" applyFill="0" applyBorder="0" applyAlignment="0" applyProtection="0"/>
    <xf numFmtId="0" fontId="6" fillId="0" borderId="0"/>
  </cellStyleXfs>
  <cellXfs count="666">
    <xf numFmtId="0" fontId="0" fillId="0" borderId="0" xfId="0"/>
    <xf numFmtId="0" fontId="0" fillId="0" borderId="0" xfId="0" applyAlignment="1">
      <alignment horizontal="right"/>
    </xf>
    <xf numFmtId="0" fontId="0" fillId="0" borderId="0" xfId="0" applyFill="1" applyAlignment="1">
      <alignment horizontal="right"/>
    </xf>
    <xf numFmtId="0" fontId="0" fillId="0" borderId="0" xfId="0" applyFill="1" applyAlignment="1">
      <alignment horizontal="left"/>
    </xf>
    <xf numFmtId="0" fontId="0" fillId="0" borderId="0" xfId="0" applyBorder="1"/>
    <xf numFmtId="165" fontId="0" fillId="0" borderId="0" xfId="0" applyNumberFormat="1"/>
    <xf numFmtId="0" fontId="0" fillId="0" borderId="0" xfId="0" applyAlignment="1">
      <alignment horizontal="center"/>
    </xf>
    <xf numFmtId="17" fontId="0" fillId="0" borderId="0" xfId="0" applyNumberFormat="1" applyAlignment="1">
      <alignment horizontal="right"/>
    </xf>
    <xf numFmtId="1" fontId="0" fillId="0" borderId="0" xfId="0" applyNumberFormat="1" applyAlignment="1">
      <alignment horizontal="right"/>
    </xf>
    <xf numFmtId="1" fontId="0" fillId="0" borderId="0" xfId="0" applyNumberFormat="1" applyFill="1" applyAlignment="1">
      <alignment horizontal="right"/>
    </xf>
    <xf numFmtId="1" fontId="0" fillId="0" borderId="0" xfId="0" applyNumberFormat="1"/>
    <xf numFmtId="165" fontId="0" fillId="0" borderId="0" xfId="0" applyNumberFormat="1" applyFill="1" applyAlignment="1">
      <alignment horizontal="right"/>
    </xf>
    <xf numFmtId="166" fontId="0" fillId="0" borderId="0" xfId="0" applyNumberFormat="1" applyFill="1" applyAlignment="1">
      <alignment horizontal="right"/>
    </xf>
    <xf numFmtId="166" fontId="0" fillId="0" borderId="10" xfId="0" applyNumberFormat="1" applyFill="1" applyBorder="1" applyAlignment="1">
      <alignment horizontal="right"/>
    </xf>
    <xf numFmtId="166" fontId="0" fillId="0" borderId="0" xfId="0" applyNumberFormat="1"/>
    <xf numFmtId="166" fontId="8" fillId="0" borderId="11" xfId="0" applyNumberFormat="1" applyFont="1" applyBorder="1"/>
    <xf numFmtId="0" fontId="8" fillId="0" borderId="0" xfId="0" applyFont="1"/>
    <xf numFmtId="0" fontId="8" fillId="0" borderId="0" xfId="0" applyFont="1" applyAlignment="1">
      <alignment horizontal="center"/>
    </xf>
    <xf numFmtId="165" fontId="8" fillId="0" borderId="0" xfId="0" applyNumberFormat="1" applyFont="1"/>
    <xf numFmtId="0" fontId="8" fillId="0" borderId="0" xfId="0" applyFont="1" applyAlignment="1">
      <alignment horizontal="right"/>
    </xf>
    <xf numFmtId="0" fontId="8" fillId="24" borderId="0" xfId="0" applyFont="1" applyFill="1" applyAlignment="1">
      <alignment horizontal="right"/>
    </xf>
    <xf numFmtId="0" fontId="8" fillId="25" borderId="0" xfId="0" applyFont="1" applyFill="1" applyAlignment="1">
      <alignment horizontal="right"/>
    </xf>
    <xf numFmtId="0" fontId="8" fillId="26" borderId="0" xfId="0" applyFont="1" applyFill="1" applyAlignment="1">
      <alignment horizontal="right"/>
    </xf>
    <xf numFmtId="165" fontId="8" fillId="0" borderId="0" xfId="0" applyNumberFormat="1" applyFont="1" applyAlignment="1">
      <alignment horizontal="right"/>
    </xf>
    <xf numFmtId="1" fontId="8" fillId="0" borderId="0" xfId="0" applyNumberFormat="1" applyFont="1" applyAlignment="1">
      <alignment horizontal="center"/>
    </xf>
    <xf numFmtId="0" fontId="8" fillId="0" borderId="0" xfId="0" applyFont="1" applyFill="1" applyAlignment="1">
      <alignment horizontal="left"/>
    </xf>
    <xf numFmtId="0" fontId="8" fillId="0" borderId="0" xfId="0" applyFont="1" applyFill="1" applyAlignment="1">
      <alignment horizontal="right"/>
    </xf>
    <xf numFmtId="166" fontId="8" fillId="0" borderId="0" xfId="0" applyNumberFormat="1" applyFont="1" applyFill="1" applyAlignment="1">
      <alignment horizontal="right"/>
    </xf>
    <xf numFmtId="1" fontId="8" fillId="0" borderId="0" xfId="0" applyNumberFormat="1" applyFont="1" applyFill="1" applyAlignment="1">
      <alignment horizontal="right"/>
    </xf>
    <xf numFmtId="165" fontId="8" fillId="0" borderId="0" xfId="0" applyNumberFormat="1" applyFont="1" applyFill="1" applyAlignment="1">
      <alignment horizontal="right"/>
    </xf>
    <xf numFmtId="166" fontId="8" fillId="0" borderId="12" xfId="0" applyNumberFormat="1" applyFont="1" applyFill="1" applyBorder="1" applyAlignment="1">
      <alignment horizontal="right"/>
    </xf>
    <xf numFmtId="0" fontId="0" fillId="0" borderId="0" xfId="0" applyFill="1" applyAlignment="1">
      <alignment horizontal="center"/>
    </xf>
    <xf numFmtId="0" fontId="8" fillId="0" borderId="0" xfId="0" applyFont="1" applyFill="1" applyAlignment="1">
      <alignment horizontal="center"/>
    </xf>
    <xf numFmtId="166" fontId="8" fillId="0" borderId="13" xfId="0" applyNumberFormat="1" applyFont="1" applyFill="1" applyBorder="1" applyAlignment="1">
      <alignment horizontal="right"/>
    </xf>
    <xf numFmtId="166" fontId="8" fillId="0" borderId="13" xfId="0" applyNumberFormat="1" applyFont="1" applyBorder="1"/>
    <xf numFmtId="0" fontId="8" fillId="0" borderId="0" xfId="0" applyFont="1" applyBorder="1"/>
    <xf numFmtId="166" fontId="8" fillId="0" borderId="0" xfId="0" applyNumberFormat="1" applyFont="1"/>
    <xf numFmtId="1" fontId="8" fillId="0" borderId="0" xfId="0" applyNumberFormat="1" applyFont="1"/>
    <xf numFmtId="166" fontId="8" fillId="0" borderId="0" xfId="0" applyNumberFormat="1" applyFont="1" applyFill="1" applyBorder="1" applyAlignment="1">
      <alignment horizontal="right"/>
    </xf>
    <xf numFmtId="1" fontId="8" fillId="27" borderId="0" xfId="0" applyNumberFormat="1" applyFont="1" applyFill="1" applyAlignment="1">
      <alignment horizontal="right"/>
    </xf>
    <xf numFmtId="165" fontId="8" fillId="27" borderId="0" xfId="0" applyNumberFormat="1" applyFont="1" applyFill="1" applyAlignment="1">
      <alignment horizontal="right"/>
    </xf>
    <xf numFmtId="1" fontId="9" fillId="27" borderId="0" xfId="0" applyNumberFormat="1" applyFont="1" applyFill="1" applyAlignment="1">
      <alignment horizontal="right"/>
    </xf>
    <xf numFmtId="165" fontId="9" fillId="27" borderId="0" xfId="0" applyNumberFormat="1" applyFont="1" applyFill="1" applyAlignment="1">
      <alignment horizontal="right"/>
    </xf>
    <xf numFmtId="0" fontId="8" fillId="28" borderId="14" xfId="0" applyFont="1" applyFill="1" applyBorder="1" applyAlignment="1">
      <alignment horizontal="right"/>
    </xf>
    <xf numFmtId="0" fontId="0" fillId="0" borderId="15" xfId="0" applyFill="1" applyBorder="1" applyAlignment="1">
      <alignment horizontal="right"/>
    </xf>
    <xf numFmtId="166" fontId="8" fillId="0" borderId="16" xfId="0" applyNumberFormat="1" applyFont="1" applyFill="1" applyBorder="1" applyAlignment="1">
      <alignment horizontal="right"/>
    </xf>
    <xf numFmtId="166" fontId="8" fillId="0" borderId="15" xfId="0" applyNumberFormat="1" applyFont="1" applyFill="1" applyBorder="1" applyAlignment="1">
      <alignment horizontal="right"/>
    </xf>
    <xf numFmtId="166" fontId="0" fillId="0" borderId="15" xfId="0" applyNumberFormat="1" applyFill="1" applyBorder="1" applyAlignment="1">
      <alignment horizontal="right"/>
    </xf>
    <xf numFmtId="166" fontId="0" fillId="0" borderId="17" xfId="0" applyNumberFormat="1" applyFill="1" applyBorder="1" applyAlignment="1">
      <alignment horizontal="right"/>
    </xf>
    <xf numFmtId="166" fontId="8" fillId="0" borderId="18" xfId="0" applyNumberFormat="1" applyFont="1" applyFill="1" applyBorder="1" applyAlignment="1">
      <alignment horizontal="right"/>
    </xf>
    <xf numFmtId="166" fontId="0" fillId="0" borderId="15" xfId="0" applyNumberFormat="1" applyBorder="1"/>
    <xf numFmtId="166" fontId="8" fillId="0" borderId="18" xfId="0" applyNumberFormat="1" applyFont="1" applyBorder="1"/>
    <xf numFmtId="166" fontId="8" fillId="0" borderId="17" xfId="0" applyNumberFormat="1" applyFont="1" applyBorder="1"/>
    <xf numFmtId="0" fontId="9" fillId="27" borderId="0" xfId="0" applyFont="1" applyFill="1" applyAlignment="1">
      <alignment horizontal="left"/>
    </xf>
    <xf numFmtId="0" fontId="8" fillId="27" borderId="0" xfId="0" applyFont="1" applyFill="1"/>
    <xf numFmtId="0" fontId="13" fillId="0" borderId="0" xfId="0" applyFont="1"/>
    <xf numFmtId="1" fontId="0" fillId="0" borderId="0" xfId="0" applyNumberFormat="1" applyBorder="1"/>
    <xf numFmtId="168" fontId="8" fillId="0" borderId="13" xfId="0" applyNumberFormat="1" applyFont="1" applyBorder="1"/>
    <xf numFmtId="167" fontId="0" fillId="0" borderId="0" xfId="0" applyNumberFormat="1" applyBorder="1"/>
    <xf numFmtId="165" fontId="8" fillId="0" borderId="13" xfId="0" applyNumberFormat="1" applyFont="1" applyBorder="1"/>
    <xf numFmtId="0" fontId="9" fillId="29" borderId="0" xfId="0" applyFont="1" applyFill="1"/>
    <xf numFmtId="0" fontId="0" fillId="29" borderId="0" xfId="0" applyFill="1"/>
    <xf numFmtId="0" fontId="9" fillId="26" borderId="0" xfId="0" applyFont="1" applyFill="1" applyAlignment="1">
      <alignment horizontal="center"/>
    </xf>
    <xf numFmtId="0" fontId="9" fillId="26" borderId="0" xfId="0" applyFont="1" applyFill="1" applyAlignment="1">
      <alignment horizontal="right"/>
    </xf>
    <xf numFmtId="0" fontId="0" fillId="24" borderId="0" xfId="0" applyFill="1"/>
    <xf numFmtId="0" fontId="10" fillId="24" borderId="0" xfId="0" applyFont="1" applyFill="1" applyAlignment="1">
      <alignment horizontal="center"/>
    </xf>
    <xf numFmtId="0" fontId="8" fillId="30" borderId="0" xfId="0" applyFont="1" applyFill="1"/>
    <xf numFmtId="0" fontId="8" fillId="30" borderId="0" xfId="0" applyFont="1" applyFill="1" applyAlignment="1">
      <alignment horizontal="right"/>
    </xf>
    <xf numFmtId="0" fontId="13" fillId="0" borderId="0" xfId="0" applyFont="1" applyFill="1" applyAlignment="1">
      <alignment horizontal="center"/>
    </xf>
    <xf numFmtId="166" fontId="14" fillId="24" borderId="11" xfId="0" applyNumberFormat="1" applyFont="1" applyFill="1" applyBorder="1" applyAlignment="1">
      <alignment horizontal="center"/>
    </xf>
    <xf numFmtId="0" fontId="8" fillId="0" borderId="19" xfId="0" applyFont="1" applyBorder="1"/>
    <xf numFmtId="2" fontId="14" fillId="24" borderId="11" xfId="0" applyNumberFormat="1" applyFont="1" applyFill="1" applyBorder="1" applyAlignment="1">
      <alignment horizontal="center"/>
    </xf>
    <xf numFmtId="0" fontId="15" fillId="0" borderId="0" xfId="0" applyFont="1" applyFill="1" applyAlignment="1">
      <alignment horizontal="left"/>
    </xf>
    <xf numFmtId="0" fontId="15" fillId="0" borderId="0" xfId="0" applyFont="1" applyFill="1" applyAlignment="1">
      <alignment horizontal="right"/>
    </xf>
    <xf numFmtId="166" fontId="8" fillId="31" borderId="15" xfId="0" applyNumberFormat="1" applyFont="1" applyFill="1" applyBorder="1" applyAlignment="1">
      <alignment horizontal="right"/>
    </xf>
    <xf numFmtId="9" fontId="0" fillId="0" borderId="0" xfId="0" applyNumberFormat="1" applyFill="1" applyAlignment="1">
      <alignment horizontal="right"/>
    </xf>
    <xf numFmtId="9" fontId="0" fillId="0" borderId="15" xfId="0" applyNumberFormat="1" applyFill="1" applyBorder="1" applyAlignment="1">
      <alignment horizontal="right"/>
    </xf>
    <xf numFmtId="10" fontId="0" fillId="0" borderId="0" xfId="0" applyNumberFormat="1" applyFill="1" applyAlignment="1">
      <alignment horizontal="right"/>
    </xf>
    <xf numFmtId="10" fontId="16" fillId="0" borderId="0" xfId="0" applyNumberFormat="1" applyFont="1" applyFill="1" applyAlignment="1">
      <alignment horizontal="right"/>
    </xf>
    <xf numFmtId="166" fontId="8" fillId="31" borderId="18" xfId="0" applyNumberFormat="1" applyFont="1" applyFill="1" applyBorder="1" applyAlignment="1">
      <alignment horizontal="right"/>
    </xf>
    <xf numFmtId="166" fontId="8" fillId="31" borderId="0" xfId="0" applyNumberFormat="1" applyFont="1" applyFill="1" applyBorder="1" applyAlignment="1">
      <alignment horizontal="right"/>
    </xf>
    <xf numFmtId="166" fontId="8" fillId="31" borderId="13" xfId="0" applyNumberFormat="1" applyFont="1" applyFill="1" applyBorder="1" applyAlignment="1">
      <alignment horizontal="right"/>
    </xf>
    <xf numFmtId="169" fontId="8" fillId="0" borderId="15" xfId="0" applyNumberFormat="1" applyFont="1" applyFill="1" applyBorder="1" applyAlignment="1">
      <alignment horizontal="right"/>
    </xf>
    <xf numFmtId="169" fontId="8" fillId="0" borderId="0" xfId="0" applyNumberFormat="1" applyFont="1" applyFill="1" applyBorder="1" applyAlignment="1">
      <alignment horizontal="right"/>
    </xf>
    <xf numFmtId="0" fontId="18" fillId="0" borderId="0" xfId="35" applyAlignment="1" applyProtection="1"/>
    <xf numFmtId="164" fontId="0" fillId="0" borderId="0" xfId="28" applyFont="1"/>
    <xf numFmtId="170" fontId="0" fillId="0" borderId="0" xfId="28" applyNumberFormat="1" applyFont="1"/>
    <xf numFmtId="0" fontId="19" fillId="24" borderId="20" xfId="0" applyFont="1" applyFill="1" applyBorder="1" applyAlignment="1">
      <alignment horizontal="center"/>
    </xf>
    <xf numFmtId="0" fontId="8" fillId="26" borderId="10" xfId="0" applyFont="1" applyFill="1" applyBorder="1" applyAlignment="1">
      <alignment horizontal="right"/>
    </xf>
    <xf numFmtId="0" fontId="9" fillId="29" borderId="10" xfId="0" applyFont="1" applyFill="1" applyBorder="1"/>
    <xf numFmtId="0" fontId="8" fillId="29" borderId="10" xfId="0" applyFont="1" applyFill="1" applyBorder="1"/>
    <xf numFmtId="0" fontId="15" fillId="29" borderId="10" xfId="0" applyFont="1" applyFill="1" applyBorder="1"/>
    <xf numFmtId="0" fontId="0" fillId="29" borderId="10" xfId="0" applyFill="1" applyBorder="1"/>
    <xf numFmtId="1" fontId="0" fillId="0" borderId="13" xfId="0" applyNumberFormat="1" applyBorder="1"/>
    <xf numFmtId="0" fontId="14" fillId="0" borderId="0" xfId="0" applyFont="1"/>
    <xf numFmtId="0" fontId="14" fillId="0" borderId="0" xfId="0" applyFont="1" applyAlignment="1">
      <alignment horizontal="right"/>
    </xf>
    <xf numFmtId="0" fontId="17" fillId="0" borderId="0" xfId="0" applyFont="1"/>
    <xf numFmtId="0" fontId="20" fillId="0" borderId="0" xfId="0" applyFont="1" applyFill="1"/>
    <xf numFmtId="0" fontId="0" fillId="0" borderId="0" xfId="0" applyFill="1"/>
    <xf numFmtId="0" fontId="10" fillId="0" borderId="0" xfId="0" applyFont="1" applyFill="1" applyAlignment="1">
      <alignment horizontal="center"/>
    </xf>
    <xf numFmtId="1" fontId="0" fillId="0" borderId="0" xfId="0" applyNumberFormat="1" applyFill="1"/>
    <xf numFmtId="165" fontId="0" fillId="0" borderId="0" xfId="0" applyNumberFormat="1" applyFill="1"/>
    <xf numFmtId="0" fontId="22" fillId="0" borderId="0" xfId="0" applyFont="1" applyAlignment="1">
      <alignment horizontal="right"/>
    </xf>
    <xf numFmtId="0" fontId="9" fillId="0" borderId="0" xfId="0" applyFont="1" applyFill="1" applyAlignment="1">
      <alignment horizontal="left"/>
    </xf>
    <xf numFmtId="10" fontId="21" fillId="0" borderId="0" xfId="0" applyNumberFormat="1" applyFont="1" applyBorder="1" applyAlignment="1">
      <alignment horizontal="center"/>
    </xf>
    <xf numFmtId="166" fontId="8" fillId="0" borderId="0" xfId="0" applyNumberFormat="1" applyFont="1" applyBorder="1"/>
    <xf numFmtId="169" fontId="0" fillId="0" borderId="15" xfId="0" applyNumberFormat="1" applyFill="1" applyBorder="1" applyAlignment="1">
      <alignment horizontal="right"/>
    </xf>
    <xf numFmtId="169" fontId="0" fillId="0" borderId="0" xfId="0" applyNumberFormat="1" applyFill="1" applyBorder="1" applyAlignment="1">
      <alignment horizontal="right"/>
    </xf>
    <xf numFmtId="0" fontId="22" fillId="0" borderId="0" xfId="0" applyFont="1" applyFill="1" applyAlignment="1">
      <alignment horizontal="right"/>
    </xf>
    <xf numFmtId="169" fontId="0" fillId="0" borderId="0" xfId="0" applyNumberFormat="1" applyFill="1" applyAlignment="1">
      <alignment horizontal="center"/>
    </xf>
    <xf numFmtId="169" fontId="15" fillId="0" borderId="0" xfId="0" applyNumberFormat="1" applyFont="1" applyFill="1" applyAlignment="1">
      <alignment horizontal="right"/>
    </xf>
    <xf numFmtId="169" fontId="0" fillId="0" borderId="0" xfId="0" applyNumberFormat="1" applyFill="1" applyAlignment="1">
      <alignment horizontal="right"/>
    </xf>
    <xf numFmtId="169" fontId="0" fillId="0" borderId="0" xfId="0" applyNumberFormat="1" applyFill="1" applyAlignment="1">
      <alignment horizontal="left"/>
    </xf>
    <xf numFmtId="0" fontId="23" fillId="0" borderId="0" xfId="0" applyFont="1"/>
    <xf numFmtId="0" fontId="24" fillId="0" borderId="0" xfId="0" applyFont="1"/>
    <xf numFmtId="0" fontId="8" fillId="24" borderId="0" xfId="0" applyFont="1" applyFill="1" applyAlignment="1">
      <alignment horizontal="center"/>
    </xf>
    <xf numFmtId="0" fontId="8" fillId="24" borderId="0" xfId="0" applyFont="1" applyFill="1"/>
    <xf numFmtId="171" fontId="8" fillId="0" borderId="18" xfId="0" applyNumberFormat="1" applyFont="1" applyBorder="1"/>
    <xf numFmtId="171" fontId="8" fillId="0" borderId="13" xfId="0" applyNumberFormat="1" applyFont="1" applyBorder="1"/>
    <xf numFmtId="171" fontId="8" fillId="24" borderId="17" xfId="0" applyNumberFormat="1" applyFont="1" applyFill="1" applyBorder="1"/>
    <xf numFmtId="171" fontId="8" fillId="24" borderId="0" xfId="0" applyNumberFormat="1" applyFont="1" applyFill="1"/>
    <xf numFmtId="171" fontId="8" fillId="24" borderId="11" xfId="0" applyNumberFormat="1" applyFont="1" applyFill="1" applyBorder="1"/>
    <xf numFmtId="0" fontId="8" fillId="0" borderId="14" xfId="0" applyFont="1" applyFill="1" applyBorder="1" applyAlignment="1">
      <alignment horizontal="right"/>
    </xf>
    <xf numFmtId="0" fontId="8" fillId="27" borderId="21" xfId="0" applyFont="1" applyFill="1" applyBorder="1"/>
    <xf numFmtId="0" fontId="8" fillId="27" borderId="22" xfId="0" applyFont="1" applyFill="1" applyBorder="1"/>
    <xf numFmtId="166" fontId="8" fillId="27" borderId="22" xfId="0" applyNumberFormat="1" applyFont="1" applyFill="1" applyBorder="1"/>
    <xf numFmtId="166" fontId="8" fillId="27" borderId="23" xfId="0" applyNumberFormat="1" applyFont="1" applyFill="1" applyBorder="1"/>
    <xf numFmtId="166" fontId="8" fillId="32" borderId="0" xfId="0" applyNumberFormat="1" applyFont="1" applyFill="1" applyAlignment="1">
      <alignment horizontal="right"/>
    </xf>
    <xf numFmtId="169" fontId="44" fillId="0" borderId="0" xfId="0" applyNumberFormat="1" applyFont="1" applyFill="1" applyBorder="1" applyAlignment="1">
      <alignment horizontal="left"/>
    </xf>
    <xf numFmtId="0" fontId="45" fillId="0" borderId="0" xfId="0" applyFont="1" applyAlignment="1">
      <alignment horizontal="right"/>
    </xf>
    <xf numFmtId="0" fontId="46" fillId="0" borderId="24" xfId="0" applyFont="1" applyBorder="1" applyAlignment="1">
      <alignment horizontal="left"/>
    </xf>
    <xf numFmtId="0" fontId="46" fillId="0" borderId="25" xfId="0" applyFont="1" applyBorder="1" applyAlignment="1">
      <alignment horizontal="right"/>
    </xf>
    <xf numFmtId="10" fontId="46" fillId="0" borderId="25" xfId="0" applyNumberFormat="1" applyFont="1" applyBorder="1" applyAlignment="1">
      <alignment horizontal="right"/>
    </xf>
    <xf numFmtId="10" fontId="46" fillId="0" borderId="26" xfId="0" applyNumberFormat="1" applyFont="1" applyBorder="1" applyAlignment="1">
      <alignment horizontal="right"/>
    </xf>
    <xf numFmtId="1" fontId="45" fillId="0" borderId="0" xfId="0" applyNumberFormat="1" applyFont="1" applyAlignment="1">
      <alignment horizontal="right"/>
    </xf>
    <xf numFmtId="165" fontId="45" fillId="0" borderId="0" xfId="0" applyNumberFormat="1" applyFont="1" applyAlignment="1">
      <alignment horizontal="right"/>
    </xf>
    <xf numFmtId="0" fontId="47" fillId="0" borderId="24" xfId="0" applyFont="1" applyBorder="1" applyAlignment="1">
      <alignment horizontal="left"/>
    </xf>
    <xf numFmtId="0" fontId="47" fillId="0" borderId="25" xfId="0" applyFont="1" applyBorder="1" applyAlignment="1">
      <alignment horizontal="right"/>
    </xf>
    <xf numFmtId="10" fontId="47" fillId="0" borderId="25" xfId="0" applyNumberFormat="1" applyFont="1" applyBorder="1" applyAlignment="1">
      <alignment horizontal="right"/>
    </xf>
    <xf numFmtId="10" fontId="47" fillId="0" borderId="26" xfId="0" applyNumberFormat="1" applyFont="1" applyBorder="1" applyAlignment="1">
      <alignment horizontal="right"/>
    </xf>
    <xf numFmtId="171" fontId="8" fillId="24" borderId="0" xfId="0" applyNumberFormat="1" applyFont="1" applyFill="1" applyBorder="1"/>
    <xf numFmtId="166" fontId="8" fillId="27" borderId="0" xfId="0" applyNumberFormat="1" applyFont="1" applyFill="1" applyBorder="1"/>
    <xf numFmtId="166" fontId="8" fillId="24" borderId="13" xfId="0" applyNumberFormat="1" applyFont="1" applyFill="1" applyBorder="1" applyAlignment="1">
      <alignment horizontal="right"/>
    </xf>
    <xf numFmtId="166" fontId="8" fillId="33" borderId="0" xfId="0" applyNumberFormat="1" applyFont="1" applyFill="1"/>
    <xf numFmtId="0" fontId="8" fillId="0" borderId="0" xfId="0" applyFont="1" applyBorder="1" applyAlignment="1">
      <alignment horizontal="right"/>
    </xf>
    <xf numFmtId="0" fontId="0" fillId="0" borderId="0" xfId="0" applyFill="1" applyBorder="1" applyAlignment="1">
      <alignment horizontal="left"/>
    </xf>
    <xf numFmtId="9" fontId="0" fillId="0" borderId="0" xfId="0" applyNumberFormat="1" applyFill="1" applyBorder="1" applyAlignment="1">
      <alignment horizontal="right"/>
    </xf>
    <xf numFmtId="169" fontId="0" fillId="0" borderId="0" xfId="0" applyNumberFormat="1" applyFill="1" applyBorder="1" applyAlignment="1">
      <alignment horizontal="left"/>
    </xf>
    <xf numFmtId="0" fontId="8" fillId="0" borderId="0" xfId="0" applyFont="1" applyFill="1" applyBorder="1" applyAlignment="1">
      <alignment horizontal="left"/>
    </xf>
    <xf numFmtId="0" fontId="0" fillId="0" borderId="0" xfId="0" applyFill="1" applyBorder="1" applyAlignment="1">
      <alignment horizontal="right"/>
    </xf>
    <xf numFmtId="0" fontId="22" fillId="0" borderId="0" xfId="0" applyFont="1" applyFill="1" applyBorder="1" applyAlignment="1">
      <alignment horizontal="right"/>
    </xf>
    <xf numFmtId="0" fontId="8" fillId="0" borderId="0" xfId="0" applyFont="1" applyFill="1" applyBorder="1" applyAlignment="1">
      <alignment horizontal="right"/>
    </xf>
    <xf numFmtId="0" fontId="8" fillId="0" borderId="0" xfId="0" applyFont="1" applyFill="1" applyBorder="1" applyAlignment="1">
      <alignment horizontal="center"/>
    </xf>
    <xf numFmtId="0" fontId="0" fillId="0" borderId="0" xfId="0" applyBorder="1" applyAlignment="1">
      <alignment horizontal="right"/>
    </xf>
    <xf numFmtId="1" fontId="0" fillId="0" borderId="0" xfId="0" applyNumberFormat="1" applyBorder="1" applyAlignment="1">
      <alignment horizontal="right"/>
    </xf>
    <xf numFmtId="0" fontId="8" fillId="0" borderId="0" xfId="0" applyFont="1" applyBorder="1" applyAlignment="1">
      <alignment horizontal="center"/>
    </xf>
    <xf numFmtId="0" fontId="8" fillId="24" borderId="0" xfId="0" applyFont="1" applyFill="1" applyBorder="1"/>
    <xf numFmtId="166" fontId="0" fillId="0" borderId="0" xfId="0" applyNumberFormat="1" applyFill="1" applyBorder="1" applyAlignment="1">
      <alignment horizontal="right"/>
    </xf>
    <xf numFmtId="166" fontId="0" fillId="0" borderId="0" xfId="0" applyNumberFormat="1" applyBorder="1"/>
    <xf numFmtId="171" fontId="8" fillId="24" borderId="10" xfId="0" applyNumberFormat="1" applyFont="1" applyFill="1" applyBorder="1"/>
    <xf numFmtId="0" fontId="8" fillId="24" borderId="14" xfId="0" applyFont="1" applyFill="1" applyBorder="1" applyAlignment="1">
      <alignment horizontal="right"/>
    </xf>
    <xf numFmtId="10" fontId="21" fillId="0" borderId="15" xfId="0" applyNumberFormat="1" applyFont="1" applyBorder="1" applyAlignment="1">
      <alignment horizontal="center"/>
    </xf>
    <xf numFmtId="0" fontId="8" fillId="24" borderId="15" xfId="0" applyFont="1" applyFill="1" applyBorder="1" applyAlignment="1">
      <alignment horizontal="right"/>
    </xf>
    <xf numFmtId="0" fontId="0" fillId="27" borderId="15" xfId="0" applyFill="1" applyBorder="1" applyAlignment="1">
      <alignment horizontal="right"/>
    </xf>
    <xf numFmtId="166" fontId="0" fillId="27" borderId="15" xfId="0" applyNumberFormat="1" applyFill="1" applyBorder="1" applyAlignment="1">
      <alignment horizontal="right"/>
    </xf>
    <xf numFmtId="10" fontId="0" fillId="27" borderId="15" xfId="0" applyNumberFormat="1" applyFill="1" applyBorder="1" applyAlignment="1">
      <alignment horizontal="right"/>
    </xf>
    <xf numFmtId="169" fontId="0" fillId="27" borderId="15" xfId="0" applyNumberFormat="1" applyFill="1" applyBorder="1" applyAlignment="1">
      <alignment horizontal="right"/>
    </xf>
    <xf numFmtId="10" fontId="16" fillId="27" borderId="15" xfId="0" applyNumberFormat="1" applyFont="1" applyFill="1" applyBorder="1" applyAlignment="1">
      <alignment horizontal="right"/>
    </xf>
    <xf numFmtId="166" fontId="8" fillId="27" borderId="15" xfId="0" applyNumberFormat="1" applyFont="1" applyFill="1" applyBorder="1" applyAlignment="1">
      <alignment horizontal="right"/>
    </xf>
    <xf numFmtId="169" fontId="8" fillId="27" borderId="15" xfId="0" applyNumberFormat="1" applyFont="1" applyFill="1" applyBorder="1" applyAlignment="1">
      <alignment horizontal="right"/>
    </xf>
    <xf numFmtId="166" fontId="0" fillId="27" borderId="17" xfId="0" applyNumberFormat="1" applyFill="1" applyBorder="1" applyAlignment="1">
      <alignment horizontal="right"/>
    </xf>
    <xf numFmtId="166" fontId="8" fillId="27" borderId="18" xfId="0" applyNumberFormat="1" applyFont="1" applyFill="1" applyBorder="1" applyAlignment="1">
      <alignment horizontal="right"/>
    </xf>
    <xf numFmtId="166" fontId="0" fillId="27" borderId="15" xfId="0" applyNumberFormat="1" applyFill="1" applyBorder="1"/>
    <xf numFmtId="166" fontId="8" fillId="27" borderId="15" xfId="0" applyNumberFormat="1" applyFont="1" applyFill="1" applyBorder="1"/>
    <xf numFmtId="171" fontId="8" fillId="27" borderId="18" xfId="0" applyNumberFormat="1" applyFont="1" applyFill="1" applyBorder="1"/>
    <xf numFmtId="0" fontId="8" fillId="28" borderId="0" xfId="0" applyFont="1" applyFill="1" applyBorder="1" applyAlignment="1">
      <alignment horizontal="right"/>
    </xf>
    <xf numFmtId="0" fontId="8" fillId="0" borderId="0" xfId="0" applyFont="1" applyFill="1"/>
    <xf numFmtId="0" fontId="48" fillId="27" borderId="15" xfId="0" applyFont="1" applyFill="1" applyBorder="1" applyAlignment="1">
      <alignment horizontal="center"/>
    </xf>
    <xf numFmtId="171" fontId="8" fillId="27" borderId="15" xfId="0" applyNumberFormat="1" applyFont="1" applyFill="1" applyBorder="1" applyAlignment="1">
      <alignment horizontal="right"/>
    </xf>
    <xf numFmtId="10" fontId="47" fillId="0" borderId="11" xfId="0" applyNumberFormat="1" applyFont="1" applyBorder="1" applyAlignment="1">
      <alignment horizontal="right"/>
    </xf>
    <xf numFmtId="10" fontId="46" fillId="0" borderId="11" xfId="0" applyNumberFormat="1" applyFont="1" applyBorder="1" applyAlignment="1">
      <alignment horizontal="right"/>
    </xf>
    <xf numFmtId="10" fontId="47" fillId="0" borderId="24" xfId="0" applyNumberFormat="1" applyFont="1" applyBorder="1" applyAlignment="1">
      <alignment horizontal="right"/>
    </xf>
    <xf numFmtId="10" fontId="46" fillId="0" borderId="24" xfId="0" applyNumberFormat="1" applyFont="1" applyBorder="1" applyAlignment="1">
      <alignment horizontal="right"/>
    </xf>
    <xf numFmtId="10" fontId="47" fillId="0" borderId="27" xfId="0" applyNumberFormat="1" applyFont="1" applyBorder="1" applyAlignment="1">
      <alignment horizontal="right"/>
    </xf>
    <xf numFmtId="10" fontId="46" fillId="0" borderId="27" xfId="0" applyNumberFormat="1" applyFont="1" applyBorder="1" applyAlignment="1">
      <alignment horizontal="right"/>
    </xf>
    <xf numFmtId="0" fontId="14" fillId="0" borderId="0" xfId="0" applyFont="1" applyBorder="1" applyAlignment="1">
      <alignment horizontal="right"/>
    </xf>
    <xf numFmtId="0" fontId="47" fillId="0" borderId="26" xfId="0" applyFont="1" applyBorder="1" applyAlignment="1">
      <alignment horizontal="right"/>
    </xf>
    <xf numFmtId="0" fontId="13" fillId="0" borderId="0" xfId="0" applyFont="1" applyFill="1" applyBorder="1" applyAlignment="1">
      <alignment horizontal="center"/>
    </xf>
    <xf numFmtId="166" fontId="8" fillId="31" borderId="28" xfId="0" applyNumberFormat="1" applyFont="1" applyFill="1" applyBorder="1" applyAlignment="1">
      <alignment horizontal="right"/>
    </xf>
    <xf numFmtId="0" fontId="48" fillId="0" borderId="0" xfId="0" applyFont="1" applyFill="1" applyBorder="1" applyAlignment="1">
      <alignment horizontal="center"/>
    </xf>
    <xf numFmtId="10" fontId="0" fillId="0" borderId="0" xfId="0" applyNumberFormat="1" applyFill="1" applyBorder="1" applyAlignment="1">
      <alignment horizontal="right"/>
    </xf>
    <xf numFmtId="10" fontId="16" fillId="0" borderId="0" xfId="0" applyNumberFormat="1" applyFont="1" applyFill="1" applyBorder="1" applyAlignment="1">
      <alignment horizontal="right"/>
    </xf>
    <xf numFmtId="171" fontId="8" fillId="0" borderId="0" xfId="0" applyNumberFormat="1" applyFont="1" applyFill="1" applyBorder="1" applyAlignment="1">
      <alignment horizontal="right"/>
    </xf>
    <xf numFmtId="166" fontId="0" fillId="0" borderId="0" xfId="0" applyNumberFormat="1" applyFill="1" applyBorder="1"/>
    <xf numFmtId="166" fontId="8" fillId="0" borderId="0" xfId="0" applyNumberFormat="1" applyFont="1" applyFill="1" applyBorder="1"/>
    <xf numFmtId="171" fontId="8" fillId="0" borderId="13" xfId="0" applyNumberFormat="1" applyFont="1" applyFill="1" applyBorder="1"/>
    <xf numFmtId="0" fontId="8" fillId="28" borderId="29" xfId="0" applyFont="1" applyFill="1" applyBorder="1" applyAlignment="1">
      <alignment horizontal="right"/>
    </xf>
    <xf numFmtId="10" fontId="46" fillId="0" borderId="30" xfId="0" applyNumberFormat="1" applyFont="1" applyBorder="1" applyAlignment="1">
      <alignment horizontal="right"/>
    </xf>
    <xf numFmtId="0" fontId="17" fillId="0" borderId="31" xfId="0" applyFont="1" applyBorder="1"/>
    <xf numFmtId="0" fontId="48" fillId="27" borderId="32" xfId="0" applyFont="1" applyFill="1" applyBorder="1" applyAlignment="1">
      <alignment horizontal="center"/>
    </xf>
    <xf numFmtId="0" fontId="8" fillId="24" borderId="32" xfId="0" applyFont="1" applyFill="1" applyBorder="1" applyAlignment="1">
      <alignment horizontal="right"/>
    </xf>
    <xf numFmtId="0" fontId="0" fillId="27" borderId="32" xfId="0" applyFill="1" applyBorder="1" applyAlignment="1">
      <alignment horizontal="right"/>
    </xf>
    <xf numFmtId="166" fontId="0" fillId="27" borderId="32" xfId="0" applyNumberFormat="1" applyFill="1" applyBorder="1" applyAlignment="1">
      <alignment horizontal="right"/>
    </xf>
    <xf numFmtId="10" fontId="0" fillId="27" borderId="32" xfId="0" applyNumberFormat="1" applyFill="1" applyBorder="1" applyAlignment="1">
      <alignment horizontal="right"/>
    </xf>
    <xf numFmtId="169" fontId="0" fillId="27" borderId="32" xfId="0" applyNumberFormat="1" applyFill="1" applyBorder="1" applyAlignment="1">
      <alignment horizontal="right"/>
    </xf>
    <xf numFmtId="166" fontId="8" fillId="31" borderId="32" xfId="0" applyNumberFormat="1" applyFont="1" applyFill="1" applyBorder="1" applyAlignment="1">
      <alignment horizontal="right"/>
    </xf>
    <xf numFmtId="10" fontId="16" fillId="27" borderId="32" xfId="0" applyNumberFormat="1" applyFont="1" applyFill="1" applyBorder="1" applyAlignment="1">
      <alignment horizontal="right"/>
    </xf>
    <xf numFmtId="166" fontId="8" fillId="27" borderId="32" xfId="0" applyNumberFormat="1" applyFont="1" applyFill="1" applyBorder="1" applyAlignment="1">
      <alignment horizontal="right"/>
    </xf>
    <xf numFmtId="166" fontId="8" fillId="31" borderId="33" xfId="0" applyNumberFormat="1" applyFont="1" applyFill="1" applyBorder="1" applyAlignment="1">
      <alignment horizontal="right"/>
    </xf>
    <xf numFmtId="169" fontId="8" fillId="27" borderId="32" xfId="0" applyNumberFormat="1" applyFont="1" applyFill="1" applyBorder="1" applyAlignment="1">
      <alignment horizontal="right"/>
    </xf>
    <xf numFmtId="166" fontId="0" fillId="27" borderId="34" xfId="0" applyNumberFormat="1" applyFill="1" applyBorder="1" applyAlignment="1">
      <alignment horizontal="right"/>
    </xf>
    <xf numFmtId="166" fontId="8" fillId="27" borderId="33" xfId="0" applyNumberFormat="1" applyFont="1" applyFill="1" applyBorder="1" applyAlignment="1">
      <alignment horizontal="right"/>
    </xf>
    <xf numFmtId="166" fontId="0" fillId="27" borderId="32" xfId="0" applyNumberFormat="1" applyFill="1" applyBorder="1"/>
    <xf numFmtId="171" fontId="8" fillId="27" borderId="33" xfId="0" applyNumberFormat="1" applyFont="1" applyFill="1" applyBorder="1"/>
    <xf numFmtId="171" fontId="8" fillId="24" borderId="35" xfId="0" applyNumberFormat="1" applyFont="1" applyFill="1" applyBorder="1"/>
    <xf numFmtId="171" fontId="8" fillId="0" borderId="0" xfId="0" applyNumberFormat="1" applyFont="1" applyFill="1" applyBorder="1"/>
    <xf numFmtId="0" fontId="8" fillId="0" borderId="0" xfId="0" applyFont="1" applyFill="1" applyBorder="1"/>
    <xf numFmtId="171" fontId="8" fillId="0" borderId="0" xfId="0" applyNumberFormat="1" applyFont="1" applyFill="1"/>
    <xf numFmtId="1" fontId="8" fillId="0" borderId="0" xfId="0" applyNumberFormat="1" applyFont="1" applyFill="1"/>
    <xf numFmtId="165" fontId="8" fillId="0" borderId="0" xfId="0" applyNumberFormat="1" applyFont="1" applyFill="1"/>
    <xf numFmtId="0" fontId="48" fillId="0" borderId="0" xfId="0" applyFont="1" applyFill="1"/>
    <xf numFmtId="0" fontId="48" fillId="0" borderId="0" xfId="0" applyFont="1" applyFill="1" applyAlignment="1">
      <alignment horizontal="center"/>
    </xf>
    <xf numFmtId="0" fontId="48" fillId="0" borderId="0" xfId="0" applyFont="1" applyFill="1" applyBorder="1"/>
    <xf numFmtId="0" fontId="48" fillId="25" borderId="21" xfId="0" applyFont="1" applyFill="1" applyBorder="1"/>
    <xf numFmtId="172" fontId="48" fillId="25" borderId="22" xfId="0" applyNumberFormat="1" applyFont="1" applyFill="1" applyBorder="1"/>
    <xf numFmtId="172" fontId="48" fillId="25" borderId="23" xfId="0" applyNumberFormat="1" applyFont="1" applyFill="1" applyBorder="1"/>
    <xf numFmtId="1" fontId="48" fillId="0" borderId="0" xfId="0" applyNumberFormat="1" applyFont="1" applyFill="1"/>
    <xf numFmtId="165" fontId="48" fillId="0" borderId="0" xfId="0" applyNumberFormat="1" applyFont="1" applyFill="1"/>
    <xf numFmtId="0" fontId="48" fillId="0" borderId="0" xfId="0" applyFont="1" applyAlignment="1">
      <alignment horizontal="center"/>
    </xf>
    <xf numFmtId="0" fontId="48" fillId="0" borderId="0" xfId="0" applyFont="1" applyBorder="1"/>
    <xf numFmtId="1" fontId="48" fillId="0" borderId="0" xfId="0" applyNumberFormat="1" applyFont="1"/>
    <xf numFmtId="165" fontId="48" fillId="0" borderId="0" xfId="0" applyNumberFormat="1" applyFont="1"/>
    <xf numFmtId="0" fontId="48" fillId="0" borderId="0" xfId="0" applyFont="1"/>
    <xf numFmtId="166" fontId="53" fillId="0" borderId="0" xfId="0" applyNumberFormat="1" applyFont="1" applyFill="1" applyBorder="1" applyAlignment="1">
      <alignment horizontal="left"/>
    </xf>
    <xf numFmtId="2" fontId="0" fillId="0" borderId="0" xfId="0" applyNumberFormat="1"/>
    <xf numFmtId="173" fontId="0" fillId="0" borderId="0" xfId="0" applyNumberFormat="1"/>
    <xf numFmtId="0" fontId="9" fillId="24" borderId="0" xfId="0" applyFont="1" applyFill="1" applyAlignment="1">
      <alignment horizontal="right"/>
    </xf>
    <xf numFmtId="0" fontId="0" fillId="0" borderId="31" xfId="0" applyBorder="1"/>
    <xf numFmtId="0" fontId="17" fillId="0" borderId="0" xfId="0" applyFont="1" applyBorder="1"/>
    <xf numFmtId="0" fontId="8" fillId="24" borderId="0" xfId="0" applyFont="1" applyFill="1" applyBorder="1" applyAlignment="1">
      <alignment horizontal="right"/>
    </xf>
    <xf numFmtId="169" fontId="8" fillId="25" borderId="0" xfId="0" applyNumberFormat="1" applyFont="1" applyFill="1" applyBorder="1" applyAlignment="1">
      <alignment horizontal="right"/>
    </xf>
    <xf numFmtId="169" fontId="8" fillId="24" borderId="0" xfId="0" applyNumberFormat="1" applyFont="1" applyFill="1" applyBorder="1" applyAlignment="1">
      <alignment horizontal="right"/>
    </xf>
    <xf numFmtId="169" fontId="8" fillId="24" borderId="32" xfId="0" applyNumberFormat="1" applyFont="1" applyFill="1" applyBorder="1" applyAlignment="1">
      <alignment horizontal="right"/>
    </xf>
    <xf numFmtId="166" fontId="8" fillId="24" borderId="33" xfId="0" applyNumberFormat="1" applyFont="1" applyFill="1" applyBorder="1" applyAlignment="1">
      <alignment horizontal="right"/>
    </xf>
    <xf numFmtId="171" fontId="8" fillId="24" borderId="13" xfId="0" applyNumberFormat="1" applyFont="1" applyFill="1" applyBorder="1"/>
    <xf numFmtId="171" fontId="8" fillId="24" borderId="33" xfId="0" applyNumberFormat="1" applyFont="1" applyFill="1" applyBorder="1"/>
    <xf numFmtId="166" fontId="8" fillId="25" borderId="13" xfId="0" applyNumberFormat="1" applyFont="1" applyFill="1" applyBorder="1" applyAlignment="1">
      <alignment horizontal="right"/>
    </xf>
    <xf numFmtId="171" fontId="8" fillId="0" borderId="11" xfId="0" applyNumberFormat="1" applyFont="1" applyFill="1" applyBorder="1"/>
    <xf numFmtId="171" fontId="8" fillId="25" borderId="13" xfId="0" applyNumberFormat="1" applyFont="1" applyFill="1" applyBorder="1"/>
    <xf numFmtId="0" fontId="22" fillId="0" borderId="0" xfId="0" applyFont="1" applyAlignment="1">
      <alignment horizontal="left"/>
    </xf>
    <xf numFmtId="166" fontId="0" fillId="27" borderId="36" xfId="0" applyNumberFormat="1" applyFill="1" applyBorder="1"/>
    <xf numFmtId="169" fontId="8" fillId="26" borderId="0" xfId="0" applyNumberFormat="1" applyFont="1" applyFill="1" applyBorder="1" applyAlignment="1">
      <alignment horizontal="right"/>
    </xf>
    <xf numFmtId="166" fontId="8" fillId="26" borderId="13" xfId="0" applyNumberFormat="1" applyFont="1" applyFill="1" applyBorder="1" applyAlignment="1">
      <alignment horizontal="right"/>
    </xf>
    <xf numFmtId="171" fontId="8" fillId="26" borderId="13" xfId="0" applyNumberFormat="1" applyFont="1" applyFill="1" applyBorder="1"/>
    <xf numFmtId="0" fontId="56" fillId="0" borderId="0" xfId="0" applyFont="1"/>
    <xf numFmtId="0" fontId="57" fillId="0" borderId="0" xfId="0" applyFont="1"/>
    <xf numFmtId="0" fontId="0" fillId="27" borderId="31" xfId="0" applyFill="1" applyBorder="1"/>
    <xf numFmtId="171" fontId="8" fillId="27" borderId="35" xfId="0" applyNumberFormat="1" applyFont="1" applyFill="1" applyBorder="1"/>
    <xf numFmtId="0" fontId="0" fillId="27" borderId="0" xfId="0" applyFill="1"/>
    <xf numFmtId="0" fontId="58" fillId="27" borderId="0" xfId="0" applyFont="1" applyFill="1" applyAlignment="1">
      <alignment horizontal="center"/>
    </xf>
    <xf numFmtId="0" fontId="17" fillId="0" borderId="0" xfId="0" applyFont="1" applyAlignment="1">
      <alignment horizontal="left"/>
    </xf>
    <xf numFmtId="166" fontId="48" fillId="26" borderId="11" xfId="0" applyNumberFormat="1" applyFont="1" applyFill="1" applyBorder="1"/>
    <xf numFmtId="1" fontId="59" fillId="0" borderId="0" xfId="0" applyNumberFormat="1" applyFont="1" applyBorder="1" applyAlignment="1">
      <alignment horizontal="right"/>
    </xf>
    <xf numFmtId="166" fontId="59" fillId="0" borderId="0" xfId="0" applyNumberFormat="1" applyFont="1" applyBorder="1"/>
    <xf numFmtId="166" fontId="59" fillId="0" borderId="0" xfId="0" applyNumberFormat="1" applyFont="1" applyFill="1" applyBorder="1"/>
    <xf numFmtId="166" fontId="59" fillId="27" borderId="36" xfId="0" applyNumberFormat="1" applyFont="1" applyFill="1" applyBorder="1"/>
    <xf numFmtId="166" fontId="59" fillId="0" borderId="0" xfId="0" applyNumberFormat="1" applyFont="1"/>
    <xf numFmtId="0" fontId="59" fillId="0" borderId="0" xfId="0" applyFont="1"/>
    <xf numFmtId="0" fontId="53" fillId="0" borderId="0" xfId="0" applyFont="1"/>
    <xf numFmtId="0" fontId="0" fillId="24" borderId="24" xfId="0" applyFill="1" applyBorder="1"/>
    <xf numFmtId="0" fontId="10" fillId="24" borderId="25" xfId="0" applyFont="1" applyFill="1" applyBorder="1" applyAlignment="1">
      <alignment horizontal="center"/>
    </xf>
    <xf numFmtId="0" fontId="0" fillId="24" borderId="25" xfId="0" applyFill="1" applyBorder="1"/>
    <xf numFmtId="0" fontId="55" fillId="24" borderId="25" xfId="0" applyFont="1" applyFill="1" applyBorder="1" applyAlignment="1">
      <alignment horizontal="center"/>
    </xf>
    <xf numFmtId="0" fontId="0" fillId="24" borderId="26" xfId="0" applyFill="1" applyBorder="1"/>
    <xf numFmtId="0" fontId="48" fillId="34" borderId="0" xfId="0" applyFont="1" applyFill="1" applyAlignment="1">
      <alignment horizontal="center"/>
    </xf>
    <xf numFmtId="0" fontId="8" fillId="34" borderId="0" xfId="0" applyFont="1" applyFill="1" applyAlignment="1">
      <alignment horizontal="right"/>
    </xf>
    <xf numFmtId="169" fontId="8" fillId="34" borderId="0" xfId="0" applyNumberFormat="1" applyFont="1" applyFill="1" applyBorder="1" applyAlignment="1">
      <alignment horizontal="right"/>
    </xf>
    <xf numFmtId="166" fontId="8" fillId="34" borderId="13" xfId="0" applyNumberFormat="1" applyFont="1" applyFill="1" applyBorder="1" applyAlignment="1">
      <alignment horizontal="right"/>
    </xf>
    <xf numFmtId="171" fontId="8" fillId="34" borderId="13" xfId="0" applyNumberFormat="1" applyFont="1" applyFill="1" applyBorder="1"/>
    <xf numFmtId="0" fontId="48" fillId="24" borderId="0" xfId="0" applyFont="1" applyFill="1" applyAlignment="1">
      <alignment horizontal="center"/>
    </xf>
    <xf numFmtId="0" fontId="60" fillId="0" borderId="0" xfId="0" applyFont="1" applyAlignment="1">
      <alignment horizontal="center"/>
    </xf>
    <xf numFmtId="0" fontId="60" fillId="0" borderId="0" xfId="0" applyFont="1"/>
    <xf numFmtId="166" fontId="60" fillId="0" borderId="0" xfId="0" applyNumberFormat="1" applyFont="1"/>
    <xf numFmtId="166" fontId="60" fillId="0" borderId="0" xfId="28" applyNumberFormat="1" applyFont="1"/>
    <xf numFmtId="0" fontId="61" fillId="0" borderId="0" xfId="0" applyFont="1" applyAlignment="1">
      <alignment horizontal="center"/>
    </xf>
    <xf numFmtId="0" fontId="61" fillId="0" borderId="0" xfId="0" applyFont="1"/>
    <xf numFmtId="167" fontId="61" fillId="0" borderId="0" xfId="0" applyNumberFormat="1" applyFont="1"/>
    <xf numFmtId="0" fontId="0" fillId="0" borderId="0" xfId="0" applyFill="1" applyBorder="1"/>
    <xf numFmtId="0" fontId="0" fillId="32" borderId="31" xfId="0" applyFill="1" applyBorder="1"/>
    <xf numFmtId="0" fontId="48" fillId="32" borderId="32" xfId="0" applyFont="1" applyFill="1" applyBorder="1" applyAlignment="1">
      <alignment horizontal="center"/>
    </xf>
    <xf numFmtId="0" fontId="0" fillId="32" borderId="32" xfId="0" applyFill="1" applyBorder="1" applyAlignment="1">
      <alignment horizontal="right"/>
    </xf>
    <xf numFmtId="166" fontId="0" fillId="32" borderId="32" xfId="0" applyNumberFormat="1" applyFill="1" applyBorder="1" applyAlignment="1">
      <alignment horizontal="right"/>
    </xf>
    <xf numFmtId="10" fontId="0" fillId="32" borderId="32" xfId="0" applyNumberFormat="1" applyFill="1" applyBorder="1" applyAlignment="1">
      <alignment horizontal="right"/>
    </xf>
    <xf numFmtId="169" fontId="0" fillId="32" borderId="32" xfId="0" applyNumberFormat="1" applyFill="1" applyBorder="1" applyAlignment="1">
      <alignment horizontal="right"/>
    </xf>
    <xf numFmtId="10" fontId="16" fillId="32" borderId="32" xfId="0" applyNumberFormat="1" applyFont="1" applyFill="1" applyBorder="1" applyAlignment="1">
      <alignment horizontal="right"/>
    </xf>
    <xf numFmtId="166" fontId="8" fillId="32" borderId="32" xfId="0" applyNumberFormat="1" applyFont="1" applyFill="1" applyBorder="1" applyAlignment="1">
      <alignment horizontal="right"/>
    </xf>
    <xf numFmtId="166" fontId="0" fillId="32" borderId="34" xfId="0" applyNumberFormat="1" applyFill="1" applyBorder="1" applyAlignment="1">
      <alignment horizontal="right"/>
    </xf>
    <xf numFmtId="166" fontId="0" fillId="32" borderId="32" xfId="0" applyNumberFormat="1" applyFill="1" applyBorder="1"/>
    <xf numFmtId="171" fontId="8" fillId="32" borderId="32" xfId="0" applyNumberFormat="1" applyFont="1" applyFill="1" applyBorder="1"/>
    <xf numFmtId="171" fontId="8" fillId="0" borderId="32" xfId="0" applyNumberFormat="1" applyFont="1" applyFill="1" applyBorder="1"/>
    <xf numFmtId="172" fontId="48" fillId="25" borderId="37" xfId="0" applyNumberFormat="1" applyFont="1" applyFill="1" applyBorder="1"/>
    <xf numFmtId="172" fontId="48" fillId="25" borderId="38" xfId="0" applyNumberFormat="1" applyFont="1" applyFill="1" applyBorder="1"/>
    <xf numFmtId="0" fontId="17" fillId="0" borderId="0" xfId="0" applyFont="1" applyAlignment="1">
      <alignment horizontal="center"/>
    </xf>
    <xf numFmtId="0" fontId="17" fillId="32" borderId="39" xfId="0" applyFont="1" applyFill="1" applyBorder="1"/>
    <xf numFmtId="0" fontId="17" fillId="32" borderId="40" xfId="0" applyFont="1" applyFill="1" applyBorder="1"/>
    <xf numFmtId="0" fontId="17" fillId="32" borderId="41" xfId="0" applyFont="1" applyFill="1" applyBorder="1"/>
    <xf numFmtId="0" fontId="17" fillId="32" borderId="29" xfId="0" applyFont="1" applyFill="1" applyBorder="1"/>
    <xf numFmtId="0" fontId="17" fillId="32" borderId="0" xfId="0" applyFont="1" applyFill="1" applyBorder="1"/>
    <xf numFmtId="174" fontId="17" fillId="32" borderId="0" xfId="0" applyNumberFormat="1" applyFont="1" applyFill="1" applyBorder="1"/>
    <xf numFmtId="0" fontId="17" fillId="32" borderId="28" xfId="0" applyFont="1" applyFill="1" applyBorder="1"/>
    <xf numFmtId="167" fontId="17" fillId="32" borderId="0" xfId="0" applyNumberFormat="1" applyFont="1" applyFill="1" applyBorder="1"/>
    <xf numFmtId="0" fontId="17" fillId="32" borderId="42" xfId="0" applyFont="1" applyFill="1" applyBorder="1"/>
    <xf numFmtId="0" fontId="17" fillId="32" borderId="10" xfId="0" applyFont="1" applyFill="1" applyBorder="1"/>
    <xf numFmtId="167" fontId="17" fillId="32" borderId="10" xfId="0" applyNumberFormat="1" applyFont="1" applyFill="1" applyBorder="1"/>
    <xf numFmtId="0" fontId="17" fillId="32" borderId="43" xfId="0" applyFont="1" applyFill="1" applyBorder="1"/>
    <xf numFmtId="0" fontId="62" fillId="0" borderId="0" xfId="0" applyFont="1" applyFill="1" applyBorder="1"/>
    <xf numFmtId="0" fontId="63" fillId="0" borderId="0" xfId="0" applyFont="1" applyFill="1" applyBorder="1"/>
    <xf numFmtId="0" fontId="60" fillId="0" borderId="44" xfId="0" applyFont="1" applyBorder="1"/>
    <xf numFmtId="0" fontId="60" fillId="0" borderId="30" xfId="0" applyFont="1" applyBorder="1"/>
    <xf numFmtId="166" fontId="60" fillId="0" borderId="30" xfId="0" applyNumberFormat="1" applyFont="1" applyBorder="1"/>
    <xf numFmtId="166" fontId="60" fillId="0" borderId="45" xfId="0" applyNumberFormat="1" applyFont="1" applyBorder="1"/>
    <xf numFmtId="0" fontId="60" fillId="0" borderId="36" xfId="0" applyFont="1" applyBorder="1"/>
    <xf numFmtId="0" fontId="60" fillId="0" borderId="0" xfId="0" applyFont="1" applyBorder="1"/>
    <xf numFmtId="166" fontId="60" fillId="0" borderId="0" xfId="0" applyNumberFormat="1" applyFont="1" applyBorder="1"/>
    <xf numFmtId="166" fontId="60" fillId="0" borderId="0" xfId="28" applyNumberFormat="1" applyFont="1" applyBorder="1"/>
    <xf numFmtId="166" fontId="60" fillId="0" borderId="46" xfId="0" applyNumberFormat="1" applyFont="1" applyBorder="1"/>
    <xf numFmtId="0" fontId="60" fillId="0" borderId="46" xfId="0" applyFont="1" applyBorder="1"/>
    <xf numFmtId="0" fontId="61" fillId="0" borderId="47" xfId="0" applyFont="1" applyBorder="1"/>
    <xf numFmtId="0" fontId="61" fillId="0" borderId="48" xfId="0" applyFont="1" applyBorder="1"/>
    <xf numFmtId="167" fontId="61" fillId="0" borderId="48" xfId="0" applyNumberFormat="1" applyFont="1" applyBorder="1"/>
    <xf numFmtId="0" fontId="61" fillId="0" borderId="49" xfId="0" applyFont="1" applyBorder="1"/>
    <xf numFmtId="0" fontId="8" fillId="34" borderId="0" xfId="0" applyFont="1" applyFill="1" applyAlignment="1">
      <alignment horizontal="center"/>
    </xf>
    <xf numFmtId="0" fontId="8" fillId="24" borderId="46" xfId="0" applyFont="1" applyFill="1" applyBorder="1" applyAlignment="1">
      <alignment horizontal="right"/>
    </xf>
    <xf numFmtId="166" fontId="8" fillId="31" borderId="46" xfId="0" applyNumberFormat="1" applyFont="1" applyFill="1" applyBorder="1" applyAlignment="1">
      <alignment horizontal="right"/>
    </xf>
    <xf numFmtId="166" fontId="8" fillId="31" borderId="50" xfId="0" applyNumberFormat="1" applyFont="1" applyFill="1" applyBorder="1" applyAlignment="1">
      <alignment horizontal="right"/>
    </xf>
    <xf numFmtId="169" fontId="8" fillId="24" borderId="46" xfId="0" applyNumberFormat="1" applyFont="1" applyFill="1" applyBorder="1" applyAlignment="1">
      <alignment horizontal="right"/>
    </xf>
    <xf numFmtId="166" fontId="8" fillId="24" borderId="50" xfId="0" applyNumberFormat="1" applyFont="1" applyFill="1" applyBorder="1" applyAlignment="1">
      <alignment horizontal="right"/>
    </xf>
    <xf numFmtId="171" fontId="8" fillId="24" borderId="50" xfId="0" applyNumberFormat="1" applyFont="1" applyFill="1" applyBorder="1"/>
    <xf numFmtId="171" fontId="8" fillId="0" borderId="46" xfId="0" applyNumberFormat="1" applyFont="1" applyFill="1" applyBorder="1"/>
    <xf numFmtId="172" fontId="48" fillId="25" borderId="51" xfId="0" applyNumberFormat="1" applyFont="1" applyFill="1" applyBorder="1"/>
    <xf numFmtId="0" fontId="0" fillId="0" borderId="45" xfId="0" applyFill="1" applyBorder="1"/>
    <xf numFmtId="0" fontId="48" fillId="0" borderId="46" xfId="0" applyFont="1" applyFill="1" applyBorder="1" applyAlignment="1">
      <alignment horizontal="center"/>
    </xf>
    <xf numFmtId="0" fontId="0" fillId="0" borderId="46" xfId="0" applyFill="1" applyBorder="1" applyAlignment="1">
      <alignment horizontal="right"/>
    </xf>
    <xf numFmtId="166" fontId="0" fillId="0" borderId="46" xfId="0" applyNumberFormat="1" applyFill="1" applyBorder="1" applyAlignment="1">
      <alignment horizontal="right"/>
    </xf>
    <xf numFmtId="169" fontId="0" fillId="0" borderId="46" xfId="0" applyNumberFormat="1" applyFill="1" applyBorder="1" applyAlignment="1">
      <alignment horizontal="right"/>
    </xf>
    <xf numFmtId="10" fontId="16" fillId="0" borderId="46" xfId="0" applyNumberFormat="1" applyFont="1" applyFill="1" applyBorder="1" applyAlignment="1">
      <alignment horizontal="right"/>
    </xf>
    <xf numFmtId="166" fontId="8" fillId="0" borderId="46" xfId="0" applyNumberFormat="1" applyFont="1" applyFill="1" applyBorder="1" applyAlignment="1">
      <alignment horizontal="right"/>
    </xf>
    <xf numFmtId="166" fontId="0" fillId="0" borderId="52" xfId="0" applyNumberFormat="1" applyFill="1" applyBorder="1" applyAlignment="1">
      <alignment horizontal="right"/>
    </xf>
    <xf numFmtId="166" fontId="0" fillId="0" borderId="46" xfId="0" applyNumberFormat="1" applyFill="1" applyBorder="1"/>
    <xf numFmtId="0" fontId="8" fillId="25" borderId="32" xfId="0" applyFont="1" applyFill="1" applyBorder="1" applyAlignment="1">
      <alignment horizontal="right"/>
    </xf>
    <xf numFmtId="169" fontId="8" fillId="25" borderId="32" xfId="0" applyNumberFormat="1" applyFont="1" applyFill="1" applyBorder="1" applyAlignment="1">
      <alignment horizontal="right"/>
    </xf>
    <xf numFmtId="166" fontId="8" fillId="25" borderId="33" xfId="0" applyNumberFormat="1" applyFont="1" applyFill="1" applyBorder="1" applyAlignment="1">
      <alignment horizontal="right"/>
    </xf>
    <xf numFmtId="171" fontId="8" fillId="25" borderId="33" xfId="0" applyNumberFormat="1" applyFont="1" applyFill="1" applyBorder="1"/>
    <xf numFmtId="0" fontId="0" fillId="32" borderId="32" xfId="0" applyFill="1" applyBorder="1"/>
    <xf numFmtId="166" fontId="59" fillId="32" borderId="32" xfId="0" applyNumberFormat="1" applyFont="1" applyFill="1" applyBorder="1"/>
    <xf numFmtId="166" fontId="48" fillId="0" borderId="0" xfId="0" applyNumberFormat="1" applyFont="1" applyBorder="1" applyAlignment="1">
      <alignment horizontal="right"/>
    </xf>
    <xf numFmtId="166" fontId="48" fillId="0" borderId="0" xfId="0" applyNumberFormat="1" applyFont="1" applyAlignment="1">
      <alignment horizontal="right"/>
    </xf>
    <xf numFmtId="2" fontId="65" fillId="0" borderId="0" xfId="0" applyNumberFormat="1" applyFont="1" applyAlignment="1">
      <alignment horizontal="center"/>
    </xf>
    <xf numFmtId="175" fontId="48" fillId="0" borderId="0" xfId="28" applyNumberFormat="1" applyFont="1" applyFill="1" applyBorder="1" applyAlignment="1">
      <alignment horizontal="right"/>
    </xf>
    <xf numFmtId="175" fontId="48" fillId="0" borderId="0" xfId="28" applyNumberFormat="1" applyFont="1" applyAlignment="1">
      <alignment horizontal="right"/>
    </xf>
    <xf numFmtId="166" fontId="48" fillId="0" borderId="46" xfId="0" applyNumberFormat="1" applyFont="1" applyFill="1" applyBorder="1"/>
    <xf numFmtId="166" fontId="48" fillId="0" borderId="0" xfId="0" applyNumberFormat="1" applyFont="1" applyFill="1" applyBorder="1"/>
    <xf numFmtId="0" fontId="8" fillId="25" borderId="0" xfId="0" applyFont="1" applyFill="1" applyBorder="1" applyAlignment="1">
      <alignment horizontal="right"/>
    </xf>
    <xf numFmtId="166" fontId="48" fillId="26" borderId="35" xfId="0" applyNumberFormat="1" applyFont="1" applyFill="1" applyBorder="1"/>
    <xf numFmtId="10" fontId="47" fillId="32" borderId="11" xfId="0" applyNumberFormat="1" applyFont="1" applyFill="1" applyBorder="1" applyAlignment="1">
      <alignment horizontal="right"/>
    </xf>
    <xf numFmtId="10" fontId="46" fillId="32" borderId="11" xfId="0" applyNumberFormat="1" applyFont="1" applyFill="1" applyBorder="1" applyAlignment="1">
      <alignment horizontal="right"/>
    </xf>
    <xf numFmtId="0" fontId="48" fillId="25" borderId="10" xfId="0" applyFont="1" applyFill="1" applyBorder="1"/>
    <xf numFmtId="172" fontId="48" fillId="25" borderId="10" xfId="0" applyNumberFormat="1" applyFont="1" applyFill="1" applyBorder="1"/>
    <xf numFmtId="172" fontId="48" fillId="25" borderId="35" xfId="0" applyNumberFormat="1" applyFont="1" applyFill="1" applyBorder="1"/>
    <xf numFmtId="171" fontId="8" fillId="0" borderId="10" xfId="0" applyNumberFormat="1" applyFont="1" applyFill="1" applyBorder="1"/>
    <xf numFmtId="0" fontId="61" fillId="24" borderId="0" xfId="0" applyFont="1" applyFill="1"/>
    <xf numFmtId="167" fontId="61" fillId="24" borderId="0" xfId="0" applyNumberFormat="1" applyFont="1" applyFill="1"/>
    <xf numFmtId="2" fontId="65" fillId="24" borderId="0" xfId="0" applyNumberFormat="1" applyFont="1" applyFill="1" applyAlignment="1">
      <alignment horizontal="center"/>
    </xf>
    <xf numFmtId="172" fontId="48" fillId="25" borderId="10" xfId="0" applyNumberFormat="1" applyFont="1" applyFill="1" applyBorder="1" applyAlignment="1">
      <alignment horizontal="right"/>
    </xf>
    <xf numFmtId="172" fontId="0" fillId="0" borderId="0" xfId="0" applyNumberFormat="1"/>
    <xf numFmtId="0" fontId="5" fillId="35" borderId="0" xfId="44" applyFill="1"/>
    <xf numFmtId="44" fontId="0" fillId="35" borderId="54" xfId="46" applyFont="1" applyFill="1" applyBorder="1"/>
    <xf numFmtId="0" fontId="5" fillId="35" borderId="20" xfId="44" applyFill="1" applyBorder="1"/>
    <xf numFmtId="176" fontId="0" fillId="35" borderId="20" xfId="46" applyNumberFormat="1" applyFont="1" applyFill="1" applyBorder="1"/>
    <xf numFmtId="176" fontId="0" fillId="35" borderId="54" xfId="46" applyNumberFormat="1" applyFont="1" applyFill="1" applyBorder="1"/>
    <xf numFmtId="44" fontId="0" fillId="35" borderId="55" xfId="46" applyFont="1" applyFill="1" applyBorder="1"/>
    <xf numFmtId="0" fontId="5" fillId="35" borderId="56" xfId="44" applyFill="1" applyBorder="1"/>
    <xf numFmtId="176" fontId="0" fillId="35" borderId="56" xfId="46" applyNumberFormat="1" applyFont="1" applyFill="1" applyBorder="1"/>
    <xf numFmtId="0" fontId="5" fillId="0" borderId="0" xfId="44"/>
    <xf numFmtId="44" fontId="5" fillId="35" borderId="17" xfId="44" applyNumberFormat="1" applyFill="1" applyBorder="1" applyAlignment="1">
      <alignment wrapText="1"/>
    </xf>
    <xf numFmtId="0" fontId="5" fillId="35" borderId="17" xfId="44" applyFill="1" applyBorder="1" applyAlignment="1">
      <alignment wrapText="1"/>
    </xf>
    <xf numFmtId="176" fontId="0" fillId="35" borderId="17" xfId="46" applyNumberFormat="1" applyFont="1" applyFill="1" applyBorder="1" applyAlignment="1">
      <alignment wrapText="1"/>
    </xf>
    <xf numFmtId="0" fontId="3" fillId="35" borderId="0" xfId="44" applyFont="1" applyFill="1"/>
    <xf numFmtId="176" fontId="5" fillId="35" borderId="0" xfId="49" applyNumberFormat="1" applyFont="1" applyFill="1"/>
    <xf numFmtId="0" fontId="5" fillId="35" borderId="0" xfId="44" applyFill="1" applyBorder="1" applyAlignment="1">
      <alignment horizontal="center"/>
    </xf>
    <xf numFmtId="176" fontId="0" fillId="35" borderId="0" xfId="46" applyNumberFormat="1" applyFont="1" applyFill="1" applyBorder="1" applyAlignment="1">
      <alignment wrapText="1"/>
    </xf>
    <xf numFmtId="176" fontId="0" fillId="35" borderId="0" xfId="48" applyNumberFormat="1" applyFont="1" applyFill="1" applyBorder="1"/>
    <xf numFmtId="0" fontId="2" fillId="35" borderId="0" xfId="44" applyFont="1" applyFill="1"/>
    <xf numFmtId="44" fontId="5" fillId="35" borderId="0" xfId="44" applyNumberFormat="1" applyFill="1"/>
    <xf numFmtId="176" fontId="5" fillId="35" borderId="0" xfId="44" applyNumberFormat="1" applyFill="1"/>
    <xf numFmtId="44" fontId="5" fillId="35" borderId="0" xfId="49" applyFont="1" applyFill="1"/>
    <xf numFmtId="0" fontId="5" fillId="36" borderId="20" xfId="44" applyFill="1" applyBorder="1"/>
    <xf numFmtId="176" fontId="0" fillId="36" borderId="20" xfId="46" applyNumberFormat="1" applyFont="1" applyFill="1" applyBorder="1"/>
    <xf numFmtId="0" fontId="5" fillId="36" borderId="0" xfId="44" applyFill="1"/>
    <xf numFmtId="44" fontId="5" fillId="35" borderId="20" xfId="44" applyNumberFormat="1" applyFill="1" applyBorder="1" applyAlignment="1">
      <alignment wrapText="1"/>
    </xf>
    <xf numFmtId="170" fontId="0" fillId="35" borderId="20" xfId="28" applyNumberFormat="1" applyFont="1" applyFill="1" applyBorder="1"/>
    <xf numFmtId="43" fontId="0" fillId="35" borderId="20" xfId="47" applyFont="1" applyFill="1" applyBorder="1"/>
    <xf numFmtId="9" fontId="0" fillId="35" borderId="20" xfId="48" applyFont="1" applyFill="1" applyBorder="1"/>
    <xf numFmtId="44" fontId="5" fillId="36" borderId="20" xfId="44" applyNumberFormat="1" applyFill="1" applyBorder="1" applyAlignment="1">
      <alignment wrapText="1"/>
    </xf>
    <xf numFmtId="170" fontId="0" fillId="36" borderId="20" xfId="28" applyNumberFormat="1" applyFont="1" applyFill="1" applyBorder="1"/>
    <xf numFmtId="9" fontId="0" fillId="36" borderId="20" xfId="48" applyFont="1" applyFill="1" applyBorder="1"/>
    <xf numFmtId="170" fontId="0" fillId="35" borderId="17" xfId="28" applyNumberFormat="1" applyFont="1" applyFill="1" applyBorder="1"/>
    <xf numFmtId="0" fontId="5" fillId="35" borderId="17" xfId="44" applyFill="1" applyBorder="1"/>
    <xf numFmtId="176" fontId="0" fillId="35" borderId="17" xfId="46" applyNumberFormat="1" applyFont="1" applyFill="1" applyBorder="1"/>
    <xf numFmtId="43" fontId="0" fillId="35" borderId="17" xfId="47" applyFont="1" applyFill="1" applyBorder="1"/>
    <xf numFmtId="0" fontId="2" fillId="35" borderId="27" xfId="44" applyFont="1" applyFill="1" applyBorder="1" applyAlignment="1">
      <alignment wrapText="1"/>
    </xf>
    <xf numFmtId="0" fontId="2" fillId="35" borderId="57" xfId="44" applyFont="1" applyFill="1" applyBorder="1" applyAlignment="1">
      <alignment wrapText="1"/>
    </xf>
    <xf numFmtId="0" fontId="4" fillId="35" borderId="57" xfId="44" applyFont="1" applyFill="1" applyBorder="1" applyAlignment="1">
      <alignment wrapText="1"/>
    </xf>
    <xf numFmtId="176" fontId="6" fillId="35" borderId="57" xfId="46" applyNumberFormat="1" applyFont="1" applyFill="1" applyBorder="1" applyAlignment="1">
      <alignment wrapText="1"/>
    </xf>
    <xf numFmtId="176" fontId="0" fillId="35" borderId="57" xfId="46" applyNumberFormat="1" applyFont="1" applyFill="1" applyBorder="1" applyAlignment="1">
      <alignment wrapText="1"/>
    </xf>
    <xf numFmtId="176" fontId="6" fillId="35" borderId="58" xfId="46" applyNumberFormat="1" applyFont="1" applyFill="1" applyBorder="1" applyAlignment="1">
      <alignment wrapText="1"/>
    </xf>
    <xf numFmtId="44" fontId="5" fillId="35" borderId="53" xfId="44" applyNumberFormat="1" applyFill="1" applyBorder="1" applyAlignment="1">
      <alignment wrapText="1"/>
    </xf>
    <xf numFmtId="176" fontId="0" fillId="35" borderId="59" xfId="46" applyNumberFormat="1" applyFont="1" applyFill="1" applyBorder="1"/>
    <xf numFmtId="176" fontId="0" fillId="35" borderId="60" xfId="46" applyNumberFormat="1" applyFont="1" applyFill="1" applyBorder="1"/>
    <xf numFmtId="44" fontId="0" fillId="36" borderId="54" xfId="46" applyFont="1" applyFill="1" applyBorder="1"/>
    <xf numFmtId="176" fontId="0" fillId="36" borderId="60" xfId="46" applyNumberFormat="1" applyFont="1" applyFill="1" applyBorder="1"/>
    <xf numFmtId="44" fontId="5" fillId="35" borderId="56" xfId="44" applyNumberFormat="1" applyFill="1" applyBorder="1" applyAlignment="1">
      <alignment wrapText="1"/>
    </xf>
    <xf numFmtId="170" fontId="0" fillId="35" borderId="56" xfId="28" applyNumberFormat="1" applyFont="1" applyFill="1" applyBorder="1"/>
    <xf numFmtId="176" fontId="0" fillId="35" borderId="61" xfId="46" applyNumberFormat="1" applyFont="1" applyFill="1" applyBorder="1"/>
    <xf numFmtId="176" fontId="6" fillId="35" borderId="27" xfId="46" applyNumberFormat="1" applyFont="1" applyFill="1" applyBorder="1" applyAlignment="1">
      <alignment wrapText="1"/>
    </xf>
    <xf numFmtId="176" fontId="0" fillId="35" borderId="53" xfId="46" applyNumberFormat="1" applyFont="1" applyFill="1" applyBorder="1"/>
    <xf numFmtId="44" fontId="0" fillId="35" borderId="59" xfId="46" applyNumberFormat="1" applyFont="1" applyFill="1" applyBorder="1"/>
    <xf numFmtId="44" fontId="0" fillId="35" borderId="60" xfId="46" applyNumberFormat="1" applyFont="1" applyFill="1" applyBorder="1"/>
    <xf numFmtId="176" fontId="0" fillId="36" borderId="54" xfId="46" applyNumberFormat="1" applyFont="1" applyFill="1" applyBorder="1"/>
    <xf numFmtId="44" fontId="0" fillId="36" borderId="60" xfId="46" applyNumberFormat="1" applyFont="1" applyFill="1" applyBorder="1"/>
    <xf numFmtId="176" fontId="0" fillId="35" borderId="55" xfId="46" applyNumberFormat="1" applyFont="1" applyFill="1" applyBorder="1"/>
    <xf numFmtId="43" fontId="0" fillId="35" borderId="56" xfId="47" applyFont="1" applyFill="1" applyBorder="1"/>
    <xf numFmtId="44" fontId="0" fillId="35" borderId="61" xfId="46" applyNumberFormat="1" applyFont="1" applyFill="1" applyBorder="1"/>
    <xf numFmtId="176" fontId="0" fillId="35" borderId="59" xfId="48" applyNumberFormat="1" applyFont="1" applyFill="1" applyBorder="1"/>
    <xf numFmtId="176" fontId="0" fillId="35" borderId="60" xfId="48" applyNumberFormat="1" applyFont="1" applyFill="1" applyBorder="1"/>
    <xf numFmtId="176" fontId="0" fillId="36" borderId="60" xfId="48" applyNumberFormat="1" applyFont="1" applyFill="1" applyBorder="1"/>
    <xf numFmtId="9" fontId="0" fillId="35" borderId="56" xfId="48" applyFont="1" applyFill="1" applyBorder="1"/>
    <xf numFmtId="176" fontId="0" fillId="35" borderId="61" xfId="48" applyNumberFormat="1" applyFont="1" applyFill="1" applyBorder="1"/>
    <xf numFmtId="44" fontId="0" fillId="35" borderId="0" xfId="48" applyNumberFormat="1" applyFont="1" applyFill="1" applyBorder="1"/>
    <xf numFmtId="44" fontId="0" fillId="36" borderId="0" xfId="48" applyNumberFormat="1" applyFont="1" applyFill="1" applyBorder="1"/>
    <xf numFmtId="44" fontId="5" fillId="36" borderId="0" xfId="44" applyNumberFormat="1" applyFill="1"/>
    <xf numFmtId="176" fontId="5" fillId="36" borderId="0" xfId="49" applyNumberFormat="1" applyFont="1" applyFill="1"/>
    <xf numFmtId="44" fontId="2" fillId="35" borderId="0" xfId="44" applyNumberFormat="1" applyFont="1" applyFill="1"/>
    <xf numFmtId="0" fontId="1" fillId="35" borderId="0" xfId="44" applyFont="1" applyFill="1"/>
    <xf numFmtId="176" fontId="6" fillId="35" borderId="25" xfId="46" applyNumberFormat="1" applyFont="1" applyFill="1" applyBorder="1" applyAlignment="1">
      <alignment wrapText="1"/>
    </xf>
    <xf numFmtId="44" fontId="0" fillId="35" borderId="10" xfId="46" applyNumberFormat="1" applyFont="1" applyFill="1" applyBorder="1"/>
    <xf numFmtId="44" fontId="0" fillId="35" borderId="22" xfId="46" applyNumberFormat="1" applyFont="1" applyFill="1" applyBorder="1"/>
    <xf numFmtId="44" fontId="0" fillId="35" borderId="62" xfId="46" applyNumberFormat="1" applyFont="1" applyFill="1" applyBorder="1"/>
    <xf numFmtId="176" fontId="1" fillId="35" borderId="0" xfId="44" applyNumberFormat="1" applyFont="1" applyFill="1"/>
    <xf numFmtId="9" fontId="5" fillId="36" borderId="0" xfId="50" applyFont="1" applyFill="1"/>
    <xf numFmtId="164" fontId="5" fillId="36" borderId="0" xfId="28" applyNumberFormat="1" applyFont="1" applyFill="1"/>
    <xf numFmtId="43" fontId="0" fillId="36" borderId="20" xfId="47" applyNumberFormat="1" applyFont="1" applyFill="1" applyBorder="1"/>
    <xf numFmtId="44" fontId="0" fillId="36" borderId="22" xfId="46" applyNumberFormat="1" applyFont="1" applyFill="1" applyBorder="1"/>
    <xf numFmtId="176" fontId="0" fillId="36" borderId="17" xfId="46" applyNumberFormat="1" applyFont="1" applyFill="1" applyBorder="1"/>
    <xf numFmtId="0" fontId="5" fillId="37" borderId="20" xfId="44" applyFill="1" applyBorder="1"/>
    <xf numFmtId="0" fontId="5" fillId="38" borderId="0" xfId="44" applyFill="1"/>
    <xf numFmtId="0" fontId="5" fillId="35" borderId="44" xfId="44" applyFill="1" applyBorder="1" applyAlignment="1">
      <alignment horizontal="center"/>
    </xf>
    <xf numFmtId="0" fontId="5" fillId="35" borderId="30" xfId="44" applyFill="1" applyBorder="1" applyAlignment="1">
      <alignment horizontal="center"/>
    </xf>
    <xf numFmtId="0" fontId="5" fillId="35" borderId="45" xfId="44" applyFill="1" applyBorder="1" applyAlignment="1">
      <alignment horizontal="center"/>
    </xf>
    <xf numFmtId="0" fontId="5" fillId="35" borderId="24" xfId="44" applyFill="1" applyBorder="1" applyAlignment="1">
      <alignment horizontal="center"/>
    </xf>
    <xf numFmtId="0" fontId="5" fillId="35" borderId="25" xfId="44" applyFill="1" applyBorder="1" applyAlignment="1">
      <alignment horizontal="center"/>
    </xf>
    <xf numFmtId="0" fontId="5" fillId="35" borderId="26" xfId="44" applyFill="1" applyBorder="1" applyAlignment="1">
      <alignment horizontal="center"/>
    </xf>
    <xf numFmtId="0" fontId="6" fillId="0" borderId="0" xfId="51"/>
    <xf numFmtId="0" fontId="6" fillId="0" borderId="0" xfId="51" applyAlignment="1">
      <alignment horizontal="center"/>
    </xf>
    <xf numFmtId="0" fontId="62" fillId="0" borderId="0" xfId="51" applyFont="1" applyFill="1" applyBorder="1"/>
    <xf numFmtId="0" fontId="63" fillId="0" borderId="0" xfId="51" applyFont="1" applyFill="1" applyBorder="1"/>
    <xf numFmtId="0" fontId="8" fillId="0" borderId="0" xfId="51" applyFont="1"/>
    <xf numFmtId="0" fontId="8" fillId="0" borderId="0" xfId="51" applyFont="1" applyAlignment="1">
      <alignment horizontal="center"/>
    </xf>
    <xf numFmtId="0" fontId="17" fillId="0" borderId="0" xfId="51" applyFont="1"/>
    <xf numFmtId="0" fontId="17" fillId="32" borderId="43" xfId="51" applyFont="1" applyFill="1" applyBorder="1"/>
    <xf numFmtId="0" fontId="17" fillId="32" borderId="10" xfId="51" applyFont="1" applyFill="1" applyBorder="1"/>
    <xf numFmtId="167" fontId="17" fillId="32" borderId="10" xfId="51" applyNumberFormat="1" applyFont="1" applyFill="1" applyBorder="1"/>
    <xf numFmtId="0" fontId="17" fillId="32" borderId="42" xfId="51" applyFont="1" applyFill="1" applyBorder="1"/>
    <xf numFmtId="0" fontId="17" fillId="0" borderId="0" xfId="51" applyFont="1" applyAlignment="1">
      <alignment horizontal="center"/>
    </xf>
    <xf numFmtId="0" fontId="17" fillId="32" borderId="28" xfId="51" applyFont="1" applyFill="1" applyBorder="1"/>
    <xf numFmtId="0" fontId="17" fillId="32" borderId="0" xfId="51" applyFont="1" applyFill="1" applyBorder="1"/>
    <xf numFmtId="167" fontId="17" fillId="32" borderId="0" xfId="51" applyNumberFormat="1" applyFont="1" applyFill="1" applyBorder="1"/>
    <xf numFmtId="0" fontId="17" fillId="32" borderId="29" xfId="51" applyFont="1" applyFill="1" applyBorder="1"/>
    <xf numFmtId="174" fontId="17" fillId="32" borderId="0" xfId="51" applyNumberFormat="1" applyFont="1" applyFill="1" applyBorder="1"/>
    <xf numFmtId="0" fontId="17" fillId="32" borderId="41" xfId="51" applyFont="1" applyFill="1" applyBorder="1"/>
    <xf numFmtId="0" fontId="17" fillId="32" borderId="40" xfId="51" applyFont="1" applyFill="1" applyBorder="1"/>
    <xf numFmtId="0" fontId="17" fillId="32" borderId="39" xfId="51" applyFont="1" applyFill="1" applyBorder="1"/>
    <xf numFmtId="0" fontId="48" fillId="0" borderId="0" xfId="51" applyFont="1"/>
    <xf numFmtId="2" fontId="65" fillId="24" borderId="0" xfId="51" applyNumberFormat="1" applyFont="1" applyFill="1" applyAlignment="1">
      <alignment horizontal="center"/>
    </xf>
    <xf numFmtId="167" fontId="48" fillId="24" borderId="0" xfId="51" applyNumberFormat="1" applyFont="1" applyFill="1"/>
    <xf numFmtId="0" fontId="48" fillId="24" borderId="0" xfId="51" applyFont="1" applyFill="1"/>
    <xf numFmtId="0" fontId="48" fillId="0" borderId="0" xfId="51" applyFont="1" applyAlignment="1">
      <alignment horizontal="center"/>
    </xf>
    <xf numFmtId="2" fontId="65" fillId="0" borderId="0" xfId="51" applyNumberFormat="1" applyFont="1" applyAlignment="1">
      <alignment horizontal="center"/>
    </xf>
    <xf numFmtId="167" fontId="48" fillId="0" borderId="0" xfId="51" applyNumberFormat="1" applyFont="1"/>
    <xf numFmtId="0" fontId="59" fillId="0" borderId="0" xfId="51" applyFont="1"/>
    <xf numFmtId="0" fontId="59" fillId="0" borderId="0" xfId="51" applyFont="1" applyAlignment="1">
      <alignment horizontal="center"/>
    </xf>
    <xf numFmtId="0" fontId="48" fillId="0" borderId="49" xfId="51" applyFont="1" applyBorder="1"/>
    <xf numFmtId="0" fontId="48" fillId="0" borderId="48" xfId="51" applyFont="1" applyBorder="1"/>
    <xf numFmtId="167" fontId="48" fillId="0" borderId="48" xfId="51" applyNumberFormat="1" applyFont="1" applyBorder="1"/>
    <xf numFmtId="0" fontId="48" fillId="0" borderId="47" xfId="51" applyFont="1" applyBorder="1"/>
    <xf numFmtId="0" fontId="59" fillId="0" borderId="46" xfId="51" applyFont="1" applyBorder="1"/>
    <xf numFmtId="0" fontId="59" fillId="0" borderId="0" xfId="51" applyFont="1" applyBorder="1"/>
    <xf numFmtId="0" fontId="59" fillId="0" borderId="36" xfId="51" applyFont="1" applyBorder="1"/>
    <xf numFmtId="166" fontId="59" fillId="0" borderId="46" xfId="51" applyNumberFormat="1" applyFont="1" applyBorder="1"/>
    <xf numFmtId="166" fontId="59" fillId="0" borderId="0" xfId="51" applyNumberFormat="1" applyFont="1" applyBorder="1"/>
    <xf numFmtId="166" fontId="59" fillId="0" borderId="45" xfId="51" applyNumberFormat="1" applyFont="1" applyBorder="1"/>
    <xf numFmtId="166" fontId="59" fillId="0" borderId="30" xfId="51" applyNumberFormat="1" applyFont="1" applyBorder="1"/>
    <xf numFmtId="0" fontId="59" fillId="0" borderId="30" xfId="51" applyFont="1" applyBorder="1"/>
    <xf numFmtId="0" fontId="59" fillId="0" borderId="44" xfId="51" applyFont="1" applyBorder="1"/>
    <xf numFmtId="166" fontId="59" fillId="0" borderId="0" xfId="51" applyNumberFormat="1" applyFont="1"/>
    <xf numFmtId="0" fontId="53" fillId="0" borderId="0" xfId="51" applyFont="1"/>
    <xf numFmtId="166" fontId="6" fillId="0" borderId="0" xfId="51" applyNumberFormat="1"/>
    <xf numFmtId="0" fontId="6" fillId="0" borderId="0" xfId="51" applyBorder="1"/>
    <xf numFmtId="166" fontId="48" fillId="0" borderId="0" xfId="51" applyNumberFormat="1" applyFont="1" applyAlignment="1">
      <alignment horizontal="right"/>
    </xf>
    <xf numFmtId="166" fontId="48" fillId="0" borderId="0" xfId="51" applyNumberFormat="1" applyFont="1" applyBorder="1" applyAlignment="1">
      <alignment horizontal="right"/>
    </xf>
    <xf numFmtId="172" fontId="48" fillId="25" borderId="10" xfId="51" applyNumberFormat="1" applyFont="1" applyFill="1" applyBorder="1"/>
    <xf numFmtId="172" fontId="48" fillId="25" borderId="35" xfId="51" applyNumberFormat="1" applyFont="1" applyFill="1" applyBorder="1" applyAlignment="1">
      <alignment horizontal="right"/>
    </xf>
    <xf numFmtId="172" fontId="48" fillId="25" borderId="51" xfId="51" applyNumberFormat="1" applyFont="1" applyFill="1" applyBorder="1"/>
    <xf numFmtId="172" fontId="48" fillId="25" borderId="22" xfId="51" applyNumberFormat="1" applyFont="1" applyFill="1" applyBorder="1"/>
    <xf numFmtId="0" fontId="48" fillId="25" borderId="10" xfId="51" applyFont="1" applyFill="1" applyBorder="1"/>
    <xf numFmtId="172" fontId="48" fillId="25" borderId="23" xfId="51" applyNumberFormat="1" applyFont="1" applyFill="1" applyBorder="1"/>
    <xf numFmtId="172" fontId="48" fillId="25" borderId="37" xfId="51" applyNumberFormat="1" applyFont="1" applyFill="1" applyBorder="1"/>
    <xf numFmtId="172" fontId="48" fillId="25" borderId="0" xfId="51" applyNumberFormat="1" applyFont="1" applyFill="1" applyBorder="1"/>
    <xf numFmtId="0" fontId="48" fillId="25" borderId="21" xfId="51" applyFont="1" applyFill="1" applyBorder="1"/>
    <xf numFmtId="0" fontId="48" fillId="0" borderId="0" xfId="51" applyFont="1" applyFill="1"/>
    <xf numFmtId="0" fontId="48" fillId="0" borderId="0" xfId="51" applyFont="1" applyFill="1" applyAlignment="1">
      <alignment horizontal="center"/>
    </xf>
    <xf numFmtId="0" fontId="8" fillId="0" borderId="0" xfId="51" applyFont="1" applyFill="1"/>
    <xf numFmtId="171" fontId="8" fillId="0" borderId="0" xfId="51" applyNumberFormat="1" applyFont="1" applyFill="1" applyBorder="1"/>
    <xf numFmtId="171" fontId="8" fillId="0" borderId="0" xfId="51" applyNumberFormat="1" applyFont="1" applyFill="1"/>
    <xf numFmtId="171" fontId="8" fillId="32" borderId="32" xfId="51" applyNumberFormat="1" applyFont="1" applyFill="1" applyBorder="1"/>
    <xf numFmtId="171" fontId="8" fillId="0" borderId="10" xfId="51" applyNumberFormat="1" applyFont="1" applyFill="1" applyBorder="1"/>
    <xf numFmtId="0" fontId="8" fillId="0" borderId="0" xfId="51" applyFont="1" applyFill="1" applyBorder="1"/>
    <xf numFmtId="0" fontId="8" fillId="0" borderId="0" xfId="51" applyFont="1" applyFill="1" applyAlignment="1">
      <alignment horizontal="center"/>
    </xf>
    <xf numFmtId="171" fontId="8" fillId="0" borderId="11" xfId="51" applyNumberFormat="1" applyFont="1" applyFill="1" applyBorder="1"/>
    <xf numFmtId="166" fontId="6" fillId="32" borderId="32" xfId="51" applyNumberFormat="1" applyFill="1" applyBorder="1"/>
    <xf numFmtId="166" fontId="6" fillId="0" borderId="0" xfId="51" applyNumberFormat="1" applyFill="1" applyBorder="1"/>
    <xf numFmtId="166" fontId="6" fillId="0" borderId="0" xfId="51" applyNumberFormat="1" applyBorder="1"/>
    <xf numFmtId="171" fontId="8" fillId="24" borderId="13" xfId="51" applyNumberFormat="1" applyFont="1" applyFill="1" applyBorder="1"/>
    <xf numFmtId="171" fontId="8" fillId="34" borderId="13" xfId="51" applyNumberFormat="1" applyFont="1" applyFill="1" applyBorder="1"/>
    <xf numFmtId="171" fontId="8" fillId="26" borderId="13" xfId="51" applyNumberFormat="1" applyFont="1" applyFill="1" applyBorder="1"/>
    <xf numFmtId="171" fontId="8" fillId="25" borderId="33" xfId="51" applyNumberFormat="1" applyFont="1" applyFill="1" applyBorder="1"/>
    <xf numFmtId="171" fontId="8" fillId="25" borderId="50" xfId="51" applyNumberFormat="1" applyFont="1" applyFill="1" applyBorder="1"/>
    <xf numFmtId="171" fontId="8" fillId="25" borderId="13" xfId="51" applyNumberFormat="1" applyFont="1" applyFill="1" applyBorder="1"/>
    <xf numFmtId="171" fontId="8" fillId="0" borderId="13" xfId="51" applyNumberFormat="1" applyFont="1" applyBorder="1"/>
    <xf numFmtId="0" fontId="8" fillId="0" borderId="0" xfId="51" applyFont="1" applyBorder="1" applyAlignment="1">
      <alignment horizontal="center"/>
    </xf>
    <xf numFmtId="0" fontId="8" fillId="0" borderId="0" xfId="51" applyFont="1" applyBorder="1"/>
    <xf numFmtId="0" fontId="8" fillId="0" borderId="0" xfId="51" applyFont="1" applyAlignment="1">
      <alignment horizontal="right"/>
    </xf>
    <xf numFmtId="1" fontId="6" fillId="0" borderId="0" xfId="51" applyNumberFormat="1" applyBorder="1" applyAlignment="1">
      <alignment horizontal="right"/>
    </xf>
    <xf numFmtId="17" fontId="6" fillId="0" borderId="0" xfId="51" applyNumberFormat="1" applyAlignment="1">
      <alignment horizontal="right"/>
    </xf>
    <xf numFmtId="166" fontId="59" fillId="32" borderId="32" xfId="51" applyNumberFormat="1" applyFont="1" applyFill="1" applyBorder="1"/>
    <xf numFmtId="166" fontId="59" fillId="0" borderId="0" xfId="51" applyNumberFormat="1" applyFont="1" applyFill="1" applyBorder="1"/>
    <xf numFmtId="166" fontId="48" fillId="0" borderId="0" xfId="51" applyNumberFormat="1" applyFont="1" applyFill="1" applyBorder="1"/>
    <xf numFmtId="1" fontId="59" fillId="0" borderId="0" xfId="51" applyNumberFormat="1" applyFont="1" applyBorder="1" applyAlignment="1">
      <alignment horizontal="right"/>
    </xf>
    <xf numFmtId="0" fontId="17" fillId="0" borderId="0" xfId="51" applyFont="1" applyAlignment="1">
      <alignment horizontal="left"/>
    </xf>
    <xf numFmtId="166" fontId="48" fillId="26" borderId="35" xfId="51" applyNumberFormat="1" applyFont="1" applyFill="1" applyBorder="1"/>
    <xf numFmtId="166" fontId="48" fillId="26" borderId="11" xfId="51" applyNumberFormat="1" applyFont="1" applyFill="1" applyBorder="1"/>
    <xf numFmtId="0" fontId="22" fillId="0" borderId="0" xfId="51" applyFont="1" applyAlignment="1">
      <alignment horizontal="left"/>
    </xf>
    <xf numFmtId="0" fontId="6" fillId="0" borderId="0" xfId="51" applyBorder="1" applyAlignment="1">
      <alignment horizontal="right"/>
    </xf>
    <xf numFmtId="0" fontId="6" fillId="0" borderId="0" xfId="51" applyAlignment="1">
      <alignment horizontal="right"/>
    </xf>
    <xf numFmtId="166" fontId="6" fillId="0" borderId="0" xfId="51" applyNumberFormat="1" applyFill="1" applyBorder="1" applyAlignment="1">
      <alignment horizontal="right"/>
    </xf>
    <xf numFmtId="166" fontId="8" fillId="0" borderId="0" xfId="51" applyNumberFormat="1" applyFont="1" applyFill="1" applyBorder="1"/>
    <xf numFmtId="0" fontId="8" fillId="27" borderId="0" xfId="51" applyFont="1" applyFill="1"/>
    <xf numFmtId="0" fontId="6" fillId="0" borderId="0" xfId="51" applyFill="1" applyAlignment="1">
      <alignment horizontal="right"/>
    </xf>
    <xf numFmtId="166" fontId="6" fillId="0" borderId="0" xfId="51" applyNumberFormat="1" applyFill="1" applyAlignment="1">
      <alignment horizontal="right"/>
    </xf>
    <xf numFmtId="166" fontId="6" fillId="32" borderId="32" xfId="51" applyNumberFormat="1" applyFill="1" applyBorder="1" applyAlignment="1">
      <alignment horizontal="right"/>
    </xf>
    <xf numFmtId="0" fontId="6" fillId="0" borderId="0" xfId="51" applyFill="1" applyBorder="1" applyAlignment="1">
      <alignment horizontal="left"/>
    </xf>
    <xf numFmtId="0" fontId="6" fillId="0" borderId="0" xfId="51" applyFill="1" applyAlignment="1">
      <alignment horizontal="left"/>
    </xf>
    <xf numFmtId="0" fontId="6" fillId="0" borderId="0" xfId="51" applyFill="1" applyAlignment="1">
      <alignment horizontal="center"/>
    </xf>
    <xf numFmtId="0" fontId="8" fillId="0" borderId="0" xfId="51" applyFont="1" applyFill="1" applyAlignment="1">
      <alignment horizontal="right"/>
    </xf>
    <xf numFmtId="166" fontId="8" fillId="0" borderId="0" xfId="51" applyNumberFormat="1" applyFont="1" applyFill="1" applyBorder="1" applyAlignment="1">
      <alignment horizontal="right"/>
    </xf>
    <xf numFmtId="166" fontId="8" fillId="32" borderId="32" xfId="51" applyNumberFormat="1" applyFont="1" applyFill="1" applyBorder="1" applyAlignment="1">
      <alignment horizontal="right"/>
    </xf>
    <xf numFmtId="0" fontId="8" fillId="0" borderId="0" xfId="51" applyFont="1" applyFill="1" applyBorder="1" applyAlignment="1">
      <alignment horizontal="center"/>
    </xf>
    <xf numFmtId="0" fontId="8" fillId="0" borderId="0" xfId="51" applyFont="1" applyFill="1" applyAlignment="1">
      <alignment horizontal="left"/>
    </xf>
    <xf numFmtId="166" fontId="8" fillId="24" borderId="13" xfId="51" applyNumberFormat="1" applyFont="1" applyFill="1" applyBorder="1" applyAlignment="1">
      <alignment horizontal="right"/>
    </xf>
    <xf numFmtId="166" fontId="8" fillId="34" borderId="13" xfId="51" applyNumberFormat="1" applyFont="1" applyFill="1" applyBorder="1" applyAlignment="1">
      <alignment horizontal="right"/>
    </xf>
    <xf numFmtId="166" fontId="8" fillId="26" borderId="13" xfId="51" applyNumberFormat="1" applyFont="1" applyFill="1" applyBorder="1" applyAlignment="1">
      <alignment horizontal="right"/>
    </xf>
    <xf numFmtId="166" fontId="8" fillId="25" borderId="33" xfId="51" applyNumberFormat="1" applyFont="1" applyFill="1" applyBorder="1" applyAlignment="1">
      <alignment horizontal="right"/>
    </xf>
    <xf numFmtId="166" fontId="8" fillId="25" borderId="50" xfId="51" applyNumberFormat="1" applyFont="1" applyFill="1" applyBorder="1" applyAlignment="1">
      <alignment horizontal="right"/>
    </xf>
    <xf numFmtId="166" fontId="8" fillId="25" borderId="13" xfId="51" applyNumberFormat="1" applyFont="1" applyFill="1" applyBorder="1" applyAlignment="1">
      <alignment horizontal="right"/>
    </xf>
    <xf numFmtId="166" fontId="8" fillId="0" borderId="13" xfId="51" applyNumberFormat="1" applyFont="1" applyFill="1" applyBorder="1" applyAlignment="1">
      <alignment horizontal="right"/>
    </xf>
    <xf numFmtId="166" fontId="6" fillId="0" borderId="10" xfId="51" applyNumberFormat="1" applyFill="1" applyBorder="1" applyAlignment="1">
      <alignment horizontal="right"/>
    </xf>
    <xf numFmtId="166" fontId="6" fillId="32" borderId="34" xfId="51" applyNumberFormat="1" applyFill="1" applyBorder="1" applyAlignment="1">
      <alignment horizontal="right"/>
    </xf>
    <xf numFmtId="166" fontId="8" fillId="0" borderId="0" xfId="51" applyNumberFormat="1" applyFont="1" applyFill="1" applyAlignment="1">
      <alignment horizontal="right"/>
    </xf>
    <xf numFmtId="0" fontId="8" fillId="0" borderId="0" xfId="51" applyFont="1" applyFill="1" applyBorder="1" applyAlignment="1">
      <alignment horizontal="right"/>
    </xf>
    <xf numFmtId="0" fontId="22" fillId="0" borderId="0" xfId="51" applyFont="1" applyFill="1" applyBorder="1" applyAlignment="1">
      <alignment horizontal="right"/>
    </xf>
    <xf numFmtId="0" fontId="6" fillId="0" borderId="0" xfId="51" applyFill="1" applyBorder="1" applyAlignment="1">
      <alignment horizontal="right"/>
    </xf>
    <xf numFmtId="171" fontId="8" fillId="0" borderId="0" xfId="51" applyNumberFormat="1" applyFont="1" applyFill="1" applyBorder="1" applyAlignment="1">
      <alignment horizontal="right"/>
    </xf>
    <xf numFmtId="0" fontId="13" fillId="0" borderId="0" xfId="51" applyFont="1" applyFill="1" applyBorder="1" applyAlignment="1">
      <alignment horizontal="center"/>
    </xf>
    <xf numFmtId="0" fontId="9" fillId="27" borderId="0" xfId="51" applyFont="1" applyFill="1" applyAlignment="1">
      <alignment horizontal="left"/>
    </xf>
    <xf numFmtId="0" fontId="8" fillId="0" borderId="0" xfId="51" applyFont="1" applyFill="1" applyBorder="1" applyAlignment="1">
      <alignment horizontal="left"/>
    </xf>
    <xf numFmtId="0" fontId="9" fillId="0" borderId="0" xfId="51" applyFont="1" applyFill="1" applyAlignment="1">
      <alignment horizontal="left"/>
    </xf>
    <xf numFmtId="169" fontId="8" fillId="24" borderId="0" xfId="51" applyNumberFormat="1" applyFont="1" applyFill="1" applyBorder="1" applyAlignment="1">
      <alignment horizontal="right"/>
    </xf>
    <xf numFmtId="169" fontId="8" fillId="34" borderId="0" xfId="51" applyNumberFormat="1" applyFont="1" applyFill="1" applyBorder="1" applyAlignment="1">
      <alignment horizontal="right"/>
    </xf>
    <xf numFmtId="169" fontId="8" fillId="26" borderId="0" xfId="51" applyNumberFormat="1" applyFont="1" applyFill="1" applyBorder="1" applyAlignment="1">
      <alignment horizontal="right"/>
    </xf>
    <xf numFmtId="169" fontId="8" fillId="25" borderId="32" xfId="51" applyNumberFormat="1" applyFont="1" applyFill="1" applyBorder="1" applyAlignment="1">
      <alignment horizontal="right"/>
    </xf>
    <xf numFmtId="169" fontId="8" fillId="25" borderId="0" xfId="51" applyNumberFormat="1" applyFont="1" applyFill="1" applyBorder="1" applyAlignment="1">
      <alignment horizontal="right"/>
    </xf>
    <xf numFmtId="169" fontId="8" fillId="0" borderId="0" xfId="51" applyNumberFormat="1" applyFont="1" applyFill="1" applyBorder="1" applyAlignment="1">
      <alignment horizontal="right"/>
    </xf>
    <xf numFmtId="166" fontId="8" fillId="31" borderId="13" xfId="51" applyNumberFormat="1" applyFont="1" applyFill="1" applyBorder="1" applyAlignment="1">
      <alignment horizontal="right"/>
    </xf>
    <xf numFmtId="166" fontId="8" fillId="31" borderId="33" xfId="51" applyNumberFormat="1" applyFont="1" applyFill="1" applyBorder="1" applyAlignment="1">
      <alignment horizontal="right"/>
    </xf>
    <xf numFmtId="166" fontId="8" fillId="31" borderId="50" xfId="51" applyNumberFormat="1" applyFont="1" applyFill="1" applyBorder="1" applyAlignment="1">
      <alignment horizontal="right"/>
    </xf>
    <xf numFmtId="0" fontId="6" fillId="0" borderId="0" xfId="51" applyFont="1" applyFill="1" applyAlignment="1">
      <alignment horizontal="right"/>
    </xf>
    <xf numFmtId="166" fontId="8" fillId="31" borderId="0" xfId="51" applyNumberFormat="1" applyFont="1" applyFill="1" applyBorder="1" applyAlignment="1">
      <alignment horizontal="right"/>
    </xf>
    <xf numFmtId="166" fontId="8" fillId="31" borderId="32" xfId="51" applyNumberFormat="1" applyFont="1" applyFill="1" applyBorder="1" applyAlignment="1">
      <alignment horizontal="right"/>
    </xf>
    <xf numFmtId="169" fontId="6" fillId="0" borderId="0" xfId="51" applyNumberFormat="1" applyFill="1" applyAlignment="1">
      <alignment horizontal="right"/>
    </xf>
    <xf numFmtId="169" fontId="6" fillId="0" borderId="0" xfId="51" applyNumberFormat="1" applyFill="1" applyBorder="1" applyAlignment="1">
      <alignment horizontal="right"/>
    </xf>
    <xf numFmtId="169" fontId="6" fillId="32" borderId="32" xfId="51" applyNumberFormat="1" applyFill="1" applyBorder="1" applyAlignment="1">
      <alignment horizontal="right"/>
    </xf>
    <xf numFmtId="169" fontId="6" fillId="0" borderId="0" xfId="51" applyNumberFormat="1" applyFill="1" applyBorder="1" applyAlignment="1">
      <alignment horizontal="left"/>
    </xf>
    <xf numFmtId="169" fontId="6" fillId="0" borderId="0" xfId="51" applyNumberFormat="1" applyFont="1" applyFill="1" applyAlignment="1">
      <alignment horizontal="right"/>
    </xf>
    <xf numFmtId="169" fontId="6" fillId="0" borderId="0" xfId="51" applyNumberFormat="1" applyFill="1" applyAlignment="1">
      <alignment horizontal="center"/>
    </xf>
    <xf numFmtId="10" fontId="16" fillId="0" borderId="0" xfId="51" applyNumberFormat="1" applyFont="1" applyFill="1" applyAlignment="1">
      <alignment horizontal="right"/>
    </xf>
    <xf numFmtId="10" fontId="16" fillId="32" borderId="32" xfId="51" applyNumberFormat="1" applyFont="1" applyFill="1" applyBorder="1" applyAlignment="1">
      <alignment horizontal="right"/>
    </xf>
    <xf numFmtId="10" fontId="16" fillId="0" borderId="0" xfId="51" applyNumberFormat="1" applyFont="1" applyFill="1" applyBorder="1" applyAlignment="1">
      <alignment horizontal="right"/>
    </xf>
    <xf numFmtId="0" fontId="6" fillId="0" borderId="0" xfId="51" applyFont="1" applyFill="1" applyAlignment="1">
      <alignment horizontal="left"/>
    </xf>
    <xf numFmtId="10" fontId="6" fillId="0" borderId="0" xfId="51" applyNumberFormat="1" applyFill="1" applyAlignment="1">
      <alignment horizontal="right"/>
    </xf>
    <xf numFmtId="10" fontId="13" fillId="0" borderId="0" xfId="51" applyNumberFormat="1" applyFont="1" applyFill="1" applyBorder="1" applyAlignment="1">
      <alignment horizontal="right"/>
    </xf>
    <xf numFmtId="9" fontId="6" fillId="0" borderId="0" xfId="51" applyNumberFormat="1" applyFill="1" applyBorder="1" applyAlignment="1">
      <alignment horizontal="right"/>
    </xf>
    <xf numFmtId="0" fontId="6" fillId="32" borderId="32" xfId="51" applyFill="1" applyBorder="1" applyAlignment="1">
      <alignment horizontal="right"/>
    </xf>
    <xf numFmtId="0" fontId="8" fillId="24" borderId="0" xfId="51" applyFont="1" applyFill="1" applyAlignment="1">
      <alignment horizontal="center"/>
    </xf>
    <xf numFmtId="0" fontId="8" fillId="34" borderId="0" xfId="51" applyFont="1" applyFill="1" applyAlignment="1">
      <alignment horizontal="center"/>
    </xf>
    <xf numFmtId="0" fontId="8" fillId="34" borderId="0" xfId="51" applyFont="1" applyFill="1" applyAlignment="1">
      <alignment horizontal="right"/>
    </xf>
    <xf numFmtId="0" fontId="8" fillId="26" borderId="0" xfId="51" applyFont="1" applyFill="1" applyAlignment="1">
      <alignment horizontal="right"/>
    </xf>
    <xf numFmtId="0" fontId="8" fillId="25" borderId="32" xfId="51" applyFont="1" applyFill="1" applyBorder="1" applyAlignment="1">
      <alignment horizontal="right"/>
    </xf>
    <xf numFmtId="0" fontId="8" fillId="25" borderId="0" xfId="51" applyFont="1" applyFill="1" applyBorder="1" applyAlignment="1">
      <alignment horizontal="right"/>
    </xf>
    <xf numFmtId="0" fontId="8" fillId="24" borderId="0" xfId="51" applyFont="1" applyFill="1" applyBorder="1" applyAlignment="1">
      <alignment horizontal="right"/>
    </xf>
    <xf numFmtId="0" fontId="8" fillId="28" borderId="0" xfId="51" applyFont="1" applyFill="1" applyBorder="1" applyAlignment="1">
      <alignment horizontal="right"/>
    </xf>
    <xf numFmtId="0" fontId="8" fillId="0" borderId="0" xfId="51" applyFont="1" applyBorder="1" applyAlignment="1">
      <alignment horizontal="right"/>
    </xf>
    <xf numFmtId="0" fontId="48" fillId="32" borderId="32" xfId="51" applyFont="1" applyFill="1" applyBorder="1" applyAlignment="1">
      <alignment horizontal="center"/>
    </xf>
    <xf numFmtId="0" fontId="48" fillId="0" borderId="0" xfId="51" applyFont="1" applyFill="1" applyBorder="1" applyAlignment="1">
      <alignment horizontal="center"/>
    </xf>
    <xf numFmtId="0" fontId="6" fillId="0" borderId="32" xfId="51" applyBorder="1"/>
    <xf numFmtId="0" fontId="6" fillId="0" borderId="0" xfId="51" applyFill="1" applyBorder="1"/>
    <xf numFmtId="0" fontId="17" fillId="0" borderId="0" xfId="51" applyFont="1" applyBorder="1"/>
    <xf numFmtId="10" fontId="21" fillId="0" borderId="0" xfId="51" applyNumberFormat="1" applyFont="1" applyBorder="1" applyAlignment="1">
      <alignment horizontal="center"/>
    </xf>
    <xf numFmtId="0" fontId="14" fillId="0" borderId="0" xfId="51" applyFont="1" applyAlignment="1">
      <alignment horizontal="right"/>
    </xf>
    <xf numFmtId="0" fontId="14" fillId="0" borderId="0" xfId="51" applyFont="1"/>
    <xf numFmtId="0" fontId="45" fillId="0" borderId="0" xfId="51" applyFont="1" applyAlignment="1">
      <alignment horizontal="right"/>
    </xf>
    <xf numFmtId="10" fontId="46" fillId="0" borderId="26" xfId="51" applyNumberFormat="1" applyFont="1" applyBorder="1" applyAlignment="1">
      <alignment horizontal="right"/>
    </xf>
    <xf numFmtId="10" fontId="46" fillId="0" borderId="11" xfId="51" applyNumberFormat="1" applyFont="1" applyBorder="1" applyAlignment="1">
      <alignment horizontal="right"/>
    </xf>
    <xf numFmtId="10" fontId="46" fillId="0" borderId="25" xfId="51" applyNumberFormat="1" applyFont="1" applyBorder="1" applyAlignment="1">
      <alignment horizontal="right"/>
    </xf>
    <xf numFmtId="10" fontId="47" fillId="0" borderId="25" xfId="51" applyNumberFormat="1" applyFont="1" applyBorder="1" applyAlignment="1">
      <alignment horizontal="right"/>
    </xf>
    <xf numFmtId="0" fontId="46" fillId="0" borderId="25" xfId="51" applyFont="1" applyBorder="1" applyAlignment="1">
      <alignment horizontal="right"/>
    </xf>
    <xf numFmtId="0" fontId="46" fillId="0" borderId="24" xfId="51" applyFont="1" applyBorder="1" applyAlignment="1">
      <alignment horizontal="left"/>
    </xf>
    <xf numFmtId="10" fontId="47" fillId="0" borderId="26" xfId="51" applyNumberFormat="1" applyFont="1" applyBorder="1" applyAlignment="1">
      <alignment horizontal="right"/>
    </xf>
    <xf numFmtId="10" fontId="47" fillId="0" borderId="11" xfId="51" applyNumberFormat="1" applyFont="1" applyBorder="1" applyAlignment="1">
      <alignment horizontal="right"/>
    </xf>
    <xf numFmtId="0" fontId="47" fillId="0" borderId="25" xfId="51" applyFont="1" applyBorder="1" applyAlignment="1">
      <alignment horizontal="right"/>
    </xf>
    <xf numFmtId="0" fontId="47" fillId="0" borderId="24" xfId="51" applyFont="1" applyBorder="1" applyAlignment="1">
      <alignment horizontal="left"/>
    </xf>
    <xf numFmtId="0" fontId="48" fillId="24" borderId="0" xfId="51" applyFont="1" applyFill="1" applyAlignment="1">
      <alignment horizontal="right"/>
    </xf>
    <xf numFmtId="0" fontId="48" fillId="34" borderId="0" xfId="51" applyFont="1" applyFill="1" applyAlignment="1">
      <alignment horizontal="right"/>
    </xf>
    <xf numFmtId="0" fontId="8" fillId="25" borderId="0" xfId="51" applyFont="1" applyFill="1" applyAlignment="1">
      <alignment horizontal="right"/>
    </xf>
    <xf numFmtId="0" fontId="8" fillId="24" borderId="0" xfId="51" applyFont="1" applyFill="1" applyAlignment="1">
      <alignment horizontal="right"/>
    </xf>
    <xf numFmtId="0" fontId="8" fillId="24" borderId="14" xfId="51" applyFont="1" applyFill="1" applyBorder="1" applyAlignment="1">
      <alignment horizontal="right"/>
    </xf>
    <xf numFmtId="0" fontId="14" fillId="0" borderId="0" xfId="51" applyFont="1" applyBorder="1" applyAlignment="1">
      <alignment horizontal="right"/>
    </xf>
    <xf numFmtId="0" fontId="24" fillId="0" borderId="0" xfId="51" applyFont="1"/>
    <xf numFmtId="0" fontId="6" fillId="0" borderId="0" xfId="51" applyFill="1"/>
    <xf numFmtId="0" fontId="6" fillId="24" borderId="26" xfId="51" applyFill="1" applyBorder="1"/>
    <xf numFmtId="0" fontId="6" fillId="24" borderId="25" xfId="51" applyFill="1" applyBorder="1"/>
    <xf numFmtId="0" fontId="55" fillId="24" borderId="25" xfId="51" applyFont="1" applyFill="1" applyBorder="1" applyAlignment="1">
      <alignment horizontal="center"/>
    </xf>
    <xf numFmtId="0" fontId="10" fillId="24" borderId="25" xfId="51" applyFont="1" applyFill="1" applyBorder="1" applyAlignment="1">
      <alignment horizontal="center"/>
    </xf>
    <xf numFmtId="0" fontId="6" fillId="24" borderId="24" xfId="51" applyFill="1" applyBorder="1"/>
    <xf numFmtId="0" fontId="20" fillId="0" borderId="0" xfId="51" applyFont="1" applyFill="1"/>
    <xf numFmtId="0" fontId="6" fillId="24" borderId="0" xfId="51" applyFill="1"/>
    <xf numFmtId="0" fontId="10" fillId="24" borderId="0" xfId="51" applyFont="1" applyFill="1" applyAlignment="1">
      <alignment horizontal="center"/>
    </xf>
    <xf numFmtId="0" fontId="23" fillId="0" borderId="0" xfId="51" applyFont="1"/>
    <xf numFmtId="166" fontId="59" fillId="0" borderId="0" xfId="28" applyNumberFormat="1" applyFont="1" applyBorder="1"/>
    <xf numFmtId="172" fontId="48" fillId="25" borderId="10" xfId="51" applyNumberFormat="1" applyFont="1" applyFill="1" applyBorder="1" applyAlignment="1">
      <alignment horizontal="right"/>
    </xf>
    <xf numFmtId="172" fontId="48" fillId="25" borderId="35" xfId="51" applyNumberFormat="1" applyFont="1" applyFill="1" applyBorder="1"/>
    <xf numFmtId="0" fontId="6" fillId="32" borderId="31" xfId="51" applyFill="1" applyBorder="1"/>
    <xf numFmtId="10" fontId="46" fillId="0" borderId="24" xfId="51" applyNumberFormat="1" applyFont="1" applyBorder="1" applyAlignment="1">
      <alignment horizontal="right"/>
    </xf>
    <xf numFmtId="10" fontId="46" fillId="0" borderId="30" xfId="51" applyNumberFormat="1" applyFont="1" applyBorder="1" applyAlignment="1">
      <alignment horizontal="right"/>
    </xf>
    <xf numFmtId="10" fontId="47" fillId="0" borderId="24" xfId="51" applyNumberFormat="1" applyFont="1" applyBorder="1" applyAlignment="1">
      <alignment horizontal="right"/>
    </xf>
    <xf numFmtId="0" fontId="48" fillId="24" borderId="0" xfId="51" applyFont="1" applyFill="1" applyAlignment="1">
      <alignment horizontal="center"/>
    </xf>
    <xf numFmtId="0" fontId="48" fillId="34" borderId="0" xfId="51" applyFont="1" applyFill="1" applyAlignment="1">
      <alignment horizontal="center"/>
    </xf>
  </cellXfs>
  <cellStyles count="52">
    <cellStyle name="20% - Accent1" xfId="1" builtinId="30" customBuiltin="1"/>
    <cellStyle name="20% - Accent2" xfId="2" builtinId="34" customBuiltin="1"/>
    <cellStyle name="20% - Accent3" xfId="3" builtinId="38" customBuiltin="1"/>
    <cellStyle name="20% - Accent4" xfId="4" builtinId="42" customBuiltin="1"/>
    <cellStyle name="20% - Accent5" xfId="5" builtinId="46" customBuiltin="1"/>
    <cellStyle name="20% - Accent6" xfId="6" builtinId="50" customBuiltin="1"/>
    <cellStyle name="40% - Accent1" xfId="7" builtinId="31" customBuiltin="1"/>
    <cellStyle name="40% - Accent2" xfId="8" builtinId="35" customBuiltin="1"/>
    <cellStyle name="40% - Accent3" xfId="9" builtinId="39" customBuiltin="1"/>
    <cellStyle name="40% - Accent4" xfId="10" builtinId="43" customBuiltin="1"/>
    <cellStyle name="40% - Accent5" xfId="11" builtinId="47" customBuiltin="1"/>
    <cellStyle name="40% - Accent6" xfId="12" builtinId="51" customBuiltin="1"/>
    <cellStyle name="60% - Accent1" xfId="13" builtinId="32" customBuiltin="1"/>
    <cellStyle name="60% - Accent2" xfId="14" builtinId="36" customBuiltin="1"/>
    <cellStyle name="60% - Accent3" xfId="15" builtinId="40" customBuiltin="1"/>
    <cellStyle name="60% - Accent4" xfId="16" builtinId="44" customBuiltin="1"/>
    <cellStyle name="60% - Accent5" xfId="17" builtinId="48" customBuiltin="1"/>
    <cellStyle name="60% - Accent6" xfId="18" builtinId="52" customBuiltin="1"/>
    <cellStyle name="Accent1" xfId="19" builtinId="29" customBuiltin="1"/>
    <cellStyle name="Accent2" xfId="20" builtinId="33" customBuiltin="1"/>
    <cellStyle name="Accent3" xfId="21" builtinId="37" customBuiltin="1"/>
    <cellStyle name="Accent4" xfId="22" builtinId="41" customBuiltin="1"/>
    <cellStyle name="Accent5" xfId="23" builtinId="45" customBuiltin="1"/>
    <cellStyle name="Accent6" xfId="24" builtinId="49" customBuiltin="1"/>
    <cellStyle name="Bad" xfId="25" builtinId="27" customBuiltin="1"/>
    <cellStyle name="Calculation" xfId="26" builtinId="22" customBuiltin="1"/>
    <cellStyle name="Check Cell" xfId="27" builtinId="23" customBuiltin="1"/>
    <cellStyle name="Comma" xfId="28" builtinId="3"/>
    <cellStyle name="Comma 2" xfId="47"/>
    <cellStyle name="Currency" xfId="49" builtinId="4"/>
    <cellStyle name="Currency 2" xfId="46"/>
    <cellStyle name="Explanatory Text" xfId="29" builtinId="53" customBuiltin="1"/>
    <cellStyle name="Good" xfId="30" builtinId="26" customBuiltin="1"/>
    <cellStyle name="Heading 1" xfId="31" builtinId="16" customBuiltin="1"/>
    <cellStyle name="Heading 2" xfId="32" builtinId="17" customBuiltin="1"/>
    <cellStyle name="Heading 3" xfId="33" builtinId="18" customBuiltin="1"/>
    <cellStyle name="Heading 4" xfId="34" builtinId="19" customBuiltin="1"/>
    <cellStyle name="Hyperlink" xfId="35" builtinId="8"/>
    <cellStyle name="Hyperlink 2" xfId="45"/>
    <cellStyle name="Input" xfId="36" builtinId="20" customBuiltin="1"/>
    <cellStyle name="Linked Cell" xfId="37" builtinId="24" customBuiltin="1"/>
    <cellStyle name="Neutral" xfId="38" builtinId="28" customBuiltin="1"/>
    <cellStyle name="Normal" xfId="0" builtinId="0"/>
    <cellStyle name="Normal 2" xfId="44"/>
    <cellStyle name="Normal 3" xfId="51"/>
    <cellStyle name="Note" xfId="39" builtinId="10" customBuiltin="1"/>
    <cellStyle name="Output" xfId="40" builtinId="21" customBuiltin="1"/>
    <cellStyle name="Percent" xfId="50" builtinId="5"/>
    <cellStyle name="Percent 2" xfId="48"/>
    <cellStyle name="Title" xfId="41" builtinId="15" customBuiltin="1"/>
    <cellStyle name="Total" xfId="42" builtinId="25" customBuiltin="1"/>
    <cellStyle name="Warning Text" xfId="43"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3.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3" Type="http://schemas.openxmlformats.org/officeDocument/2006/relationships/comments" Target="../comments5.xml"/><Relationship Id="rId2" Type="http://schemas.openxmlformats.org/officeDocument/2006/relationships/vmlDrawing" Target="../drawings/vmlDrawing5.vml"/><Relationship Id="rId1" Type="http://schemas.openxmlformats.org/officeDocument/2006/relationships/printerSettings" Target="../printerSettings/printerSettings5.bin"/></Relationships>
</file>

<file path=xl/worksheets/_rels/sheet8.xml.rels><?xml version="1.0" encoding="UTF-8" standalone="yes"?>
<Relationships xmlns="http://schemas.openxmlformats.org/package/2006/relationships"><Relationship Id="rId3" Type="http://schemas.openxmlformats.org/officeDocument/2006/relationships/comments" Target="../comments6.xml"/><Relationship Id="rId2" Type="http://schemas.openxmlformats.org/officeDocument/2006/relationships/vmlDrawing" Target="../drawings/vmlDrawing6.vml"/><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comments" Target="../comments7.xml"/><Relationship Id="rId1" Type="http://schemas.openxmlformats.org/officeDocument/2006/relationships/vmlDrawing" Target="../drawings/vmlDrawing7.vml"/></Relationships>
</file>

<file path=xl/worksheets/_rels/sheet10.xml.rels><?xml version="1.0" encoding="UTF-8" standalone="yes"?>
<Relationships xmlns="http://schemas.openxmlformats.org/package/2006/relationships"><Relationship Id="rId3" Type="http://schemas.openxmlformats.org/officeDocument/2006/relationships/comments" Target="../comments8.xml"/><Relationship Id="rId2" Type="http://schemas.openxmlformats.org/officeDocument/2006/relationships/vmlDrawing" Target="../drawings/vmlDrawing8.vml"/><Relationship Id="rId1" Type="http://schemas.openxmlformats.org/officeDocument/2006/relationships/printerSettings" Target="../printerSettings/printerSettings7.bin"/></Relationships>
</file>

<file path=xl/worksheets/_rels/sheet11.xml.rels><?xml version="1.0" encoding="UTF-8" standalone="yes"?>
<Relationships xmlns="http://schemas.openxmlformats.org/package/2006/relationships"><Relationship Id="rId3" Type="http://schemas.openxmlformats.org/officeDocument/2006/relationships/comments" Target="../comments9.xml"/><Relationship Id="rId2" Type="http://schemas.openxmlformats.org/officeDocument/2006/relationships/vmlDrawing" Target="../drawings/vmlDrawing9.vml"/><Relationship Id="rId1" Type="http://schemas.openxmlformats.org/officeDocument/2006/relationships/printerSettings" Target="../printerSettings/printerSettings8.bin"/></Relationships>
</file>

<file path=xl/worksheets/_rels/sheet12.xml.rels><?xml version="1.0" encoding="UTF-8" standalone="yes"?>
<Relationships xmlns="http://schemas.openxmlformats.org/package/2006/relationships"><Relationship Id="rId3" Type="http://schemas.openxmlformats.org/officeDocument/2006/relationships/comments" Target="../comments10.xml"/><Relationship Id="rId2" Type="http://schemas.openxmlformats.org/officeDocument/2006/relationships/vmlDrawing" Target="../drawings/vmlDrawing10.vml"/><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3" Type="http://schemas.openxmlformats.org/officeDocument/2006/relationships/comments" Target="../comments11.xml"/><Relationship Id="rId2" Type="http://schemas.openxmlformats.org/officeDocument/2006/relationships/vmlDrawing" Target="../drawings/vmlDrawing11.vml"/><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3" Type="http://schemas.openxmlformats.org/officeDocument/2006/relationships/hyperlink" Target="http://www.theglobeandmail.com/globe-investor/updates-from-yellow-medias-call/article2425917/" TargetMode="External"/><Relationship Id="rId2" Type="http://schemas.openxmlformats.org/officeDocument/2006/relationships/hyperlink" Target="http://www.ypg.com/images/ckeditor/files/2011_Q3_SuppDisc.pdf" TargetMode="External"/><Relationship Id="rId1" Type="http://schemas.openxmlformats.org/officeDocument/2006/relationships/hyperlink" Target="http://www.ypg.com/images/ckeditor/files/2011_Q4_SuppDisc.pdf" TargetMode="External"/><Relationship Id="rId4"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2" Type="http://schemas.openxmlformats.org/officeDocument/2006/relationships/comments" Target="../comments12.xml"/><Relationship Id="rId1" Type="http://schemas.openxmlformats.org/officeDocument/2006/relationships/vmlDrawing" Target="../drawings/vmlDrawing12.v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2"/>
  <dimension ref="B1:AA114"/>
  <sheetViews>
    <sheetView zoomScaleNormal="100" workbookViewId="0">
      <pane ySplit="4" topLeftCell="A48" activePane="bottomLeft" state="frozen"/>
      <selection pane="bottomLeft" activeCell="E63" sqref="E63:E76"/>
    </sheetView>
  </sheetViews>
  <sheetFormatPr defaultRowHeight="15" x14ac:dyDescent="0.25"/>
  <cols>
    <col min="1" max="1" width="0.42578125" style="375" customWidth="1"/>
    <col min="2" max="2" width="8.42578125" style="375" customWidth="1"/>
    <col min="3" max="3" width="8.85546875" style="375" customWidth="1"/>
    <col min="4" max="4" width="11.28515625" style="375" bestFit="1" customWidth="1"/>
    <col min="5" max="5" width="9.140625" style="375"/>
    <col min="6" max="6" width="11.140625" style="375" customWidth="1"/>
    <col min="7" max="7" width="12" style="375" customWidth="1"/>
    <col min="8" max="8" width="10.7109375" style="375" bestFit="1" customWidth="1"/>
    <col min="9" max="10" width="12.85546875" style="375" customWidth="1"/>
    <col min="11" max="11" width="11.42578125" style="375" customWidth="1"/>
    <col min="12" max="12" width="11.5703125" style="375" hidden="1" customWidth="1"/>
    <col min="13" max="13" width="11.5703125" style="375" customWidth="1"/>
    <col min="14" max="14" width="17" style="375" customWidth="1"/>
    <col min="15" max="16" width="11.5703125" style="375" customWidth="1"/>
    <col min="17" max="19" width="14.85546875" style="375" customWidth="1"/>
    <col min="20" max="20" width="11.5703125" style="375" bestFit="1" customWidth="1"/>
    <col min="21" max="21" width="9.140625" style="375"/>
    <col min="22" max="22" width="10.5703125" style="375" bestFit="1" customWidth="1"/>
    <col min="23" max="23" width="10" style="375" bestFit="1" customWidth="1"/>
    <col min="24" max="24" width="12.42578125" style="375" customWidth="1"/>
    <col min="25" max="25" width="12.5703125" style="375" bestFit="1" customWidth="1"/>
    <col min="26" max="26" width="11.42578125" style="375" customWidth="1"/>
    <col min="27" max="16384" width="9.140625" style="375"/>
  </cols>
  <sheetData>
    <row r="1" spans="2:19" x14ac:dyDescent="0.25">
      <c r="B1" s="375">
        <v>1.1134250000000001</v>
      </c>
      <c r="C1" s="392" t="s">
        <v>192</v>
      </c>
      <c r="E1" s="395">
        <v>1</v>
      </c>
      <c r="F1" s="392" t="s">
        <v>197</v>
      </c>
      <c r="G1" s="395">
        <v>23</v>
      </c>
      <c r="H1" s="392" t="s">
        <v>198</v>
      </c>
      <c r="K1" s="375">
        <v>26900</v>
      </c>
      <c r="M1" s="392" t="s">
        <v>201</v>
      </c>
      <c r="N1" s="392"/>
      <c r="O1" s="392"/>
      <c r="P1" s="455">
        <v>21.26</v>
      </c>
      <c r="Q1" s="375">
        <v>0.3</v>
      </c>
      <c r="R1" s="392" t="s">
        <v>204</v>
      </c>
    </row>
    <row r="2" spans="2:19" ht="15.75" thickBot="1" x14ac:dyDescent="0.3"/>
    <row r="3" spans="2:19" ht="15.75" thickBot="1" x14ac:dyDescent="0.3">
      <c r="B3" s="456" t="s">
        <v>177</v>
      </c>
      <c r="C3" s="457"/>
      <c r="D3" s="457"/>
      <c r="E3" s="457"/>
      <c r="F3" s="458"/>
      <c r="G3" s="459" t="s">
        <v>178</v>
      </c>
      <c r="H3" s="460"/>
      <c r="I3" s="460"/>
      <c r="J3" s="460"/>
      <c r="K3" s="460"/>
      <c r="L3" s="460"/>
      <c r="M3" s="460"/>
      <c r="N3" s="460"/>
      <c r="O3" s="461"/>
      <c r="P3" s="456" t="s">
        <v>179</v>
      </c>
      <c r="Q3" s="457"/>
      <c r="R3" s="458"/>
      <c r="S3" s="389"/>
    </row>
    <row r="4" spans="2:19" ht="52.5" thickBot="1" x14ac:dyDescent="0.3">
      <c r="B4" s="410" t="s">
        <v>193</v>
      </c>
      <c r="C4" s="411" t="s">
        <v>194</v>
      </c>
      <c r="D4" s="412" t="s">
        <v>188</v>
      </c>
      <c r="E4" s="412" t="s">
        <v>189</v>
      </c>
      <c r="F4" s="415" t="s">
        <v>202</v>
      </c>
      <c r="G4" s="424" t="s">
        <v>195</v>
      </c>
      <c r="H4" s="411" t="s">
        <v>199</v>
      </c>
      <c r="I4" s="413" t="s">
        <v>196</v>
      </c>
      <c r="J4" s="413" t="s">
        <v>214</v>
      </c>
      <c r="K4" s="413" t="s">
        <v>210</v>
      </c>
      <c r="L4" s="414" t="s">
        <v>180</v>
      </c>
      <c r="M4" s="415" t="s">
        <v>205</v>
      </c>
      <c r="N4" s="444" t="s">
        <v>215</v>
      </c>
      <c r="O4" s="444" t="s">
        <v>209</v>
      </c>
      <c r="P4" s="424" t="s">
        <v>200</v>
      </c>
      <c r="Q4" s="414" t="s">
        <v>181</v>
      </c>
      <c r="R4" s="415" t="s">
        <v>203</v>
      </c>
      <c r="S4" s="390" t="s">
        <v>191</v>
      </c>
    </row>
    <row r="5" spans="2:19" x14ac:dyDescent="0.25">
      <c r="B5" s="416">
        <f>G1-E1*50</f>
        <v>-27</v>
      </c>
      <c r="C5" s="384">
        <f t="shared" ref="C5:C36" si="0">B5/$B$1</f>
        <v>-24.249500415384958</v>
      </c>
      <c r="D5" s="406">
        <f>SUM($E5:E$55)</f>
        <v>14900</v>
      </c>
      <c r="E5" s="407">
        <v>0</v>
      </c>
      <c r="F5" s="417">
        <f t="shared" ref="F5:F48" si="1">-E5*C5</f>
        <v>0</v>
      </c>
      <c r="G5" s="425">
        <f>SUM($E5:E$55)*C5</f>
        <v>-361317.55618923588</v>
      </c>
      <c r="H5" s="385"/>
      <c r="I5" s="408">
        <f>-(-SUM($F5:F$55)-SUM($H5:H$55))</f>
        <v>-198248.01989152987</v>
      </c>
      <c r="J5" s="408">
        <f>I5*$B$1</f>
        <v>-220734.30154772667</v>
      </c>
      <c r="K5" s="409">
        <f t="shared" ref="K5:K54" si="2">(G5+I5)/G5</f>
        <v>1.5486808390448092</v>
      </c>
      <c r="L5" s="386"/>
      <c r="M5" s="426">
        <f t="shared" ref="M5:M36" si="3">I5/($Q$1*D5-D5)*$B$1</f>
        <v>21.163403791728349</v>
      </c>
      <c r="N5" s="445"/>
      <c r="O5" s="445"/>
      <c r="P5" s="425">
        <f>SUM($E5:E$55)*170/35/$B$1</f>
        <v>64998.925452031843</v>
      </c>
      <c r="Q5" s="386"/>
      <c r="R5" s="433">
        <f t="shared" ref="R5:R36" si="4">G5+I5</f>
        <v>-559565.57608076581</v>
      </c>
      <c r="S5" s="390"/>
    </row>
    <row r="6" spans="2:19" x14ac:dyDescent="0.25">
      <c r="B6" s="376">
        <f>B5+$E$1</f>
        <v>-26</v>
      </c>
      <c r="C6" s="399">
        <f t="shared" si="0"/>
        <v>-23.3513707703707</v>
      </c>
      <c r="D6" s="400">
        <f>SUM($E6:E$55)</f>
        <v>14900</v>
      </c>
      <c r="E6" s="377">
        <v>0</v>
      </c>
      <c r="F6" s="418">
        <f t="shared" si="1"/>
        <v>0</v>
      </c>
      <c r="G6" s="379">
        <f>SUM($E6:E$55)*C6</f>
        <v>-347935.42447852343</v>
      </c>
      <c r="H6" s="378"/>
      <c r="I6" s="378">
        <f>-(-SUM($F6:F$55)-SUM($H6:H$55))</f>
        <v>-198248.01989152987</v>
      </c>
      <c r="J6" s="408">
        <f t="shared" ref="J6:J69" si="5">I6*$B$1</f>
        <v>-220734.30154772667</v>
      </c>
      <c r="K6" s="401">
        <f t="shared" si="2"/>
        <v>1.56978394823884</v>
      </c>
      <c r="L6" s="378"/>
      <c r="M6" s="427">
        <f t="shared" si="3"/>
        <v>21.163403791728349</v>
      </c>
      <c r="N6" s="446"/>
      <c r="O6" s="446"/>
      <c r="P6" s="379">
        <f>SUM($E6:E$55)*170/35/$B$1</f>
        <v>64998.925452031843</v>
      </c>
      <c r="Q6" s="402"/>
      <c r="R6" s="434">
        <f t="shared" si="4"/>
        <v>-546183.44437005324</v>
      </c>
      <c r="S6" s="390"/>
    </row>
    <row r="7" spans="2:19" x14ac:dyDescent="0.25">
      <c r="B7" s="376">
        <f t="shared" ref="B7:B70" si="6">B6+$E$1</f>
        <v>-25</v>
      </c>
      <c r="C7" s="399">
        <f t="shared" si="0"/>
        <v>-22.453241125356442</v>
      </c>
      <c r="D7" s="400">
        <f>SUM($E7:E$55)</f>
        <v>14900</v>
      </c>
      <c r="E7" s="377">
        <v>0</v>
      </c>
      <c r="F7" s="418">
        <f t="shared" si="1"/>
        <v>0</v>
      </c>
      <c r="G7" s="379">
        <f>SUM($E7:E$55)*C7</f>
        <v>-334553.29276781098</v>
      </c>
      <c r="H7" s="378"/>
      <c r="I7" s="378">
        <f>-(-SUM($F7:F$55)-SUM($H7:H$55))</f>
        <v>-198248.01989152987</v>
      </c>
      <c r="J7" s="408">
        <f t="shared" si="5"/>
        <v>-220734.30154772667</v>
      </c>
      <c r="K7" s="401">
        <f t="shared" si="2"/>
        <v>1.5925753061683938</v>
      </c>
      <c r="L7" s="378"/>
      <c r="M7" s="427">
        <f t="shared" si="3"/>
        <v>21.163403791728349</v>
      </c>
      <c r="N7" s="446"/>
      <c r="O7" s="446"/>
      <c r="P7" s="379">
        <f>SUM($E7:E$55)*170/35/$B$1</f>
        <v>64998.925452031843</v>
      </c>
      <c r="Q7" s="402"/>
      <c r="R7" s="434">
        <f t="shared" si="4"/>
        <v>-532801.31265934091</v>
      </c>
      <c r="S7" s="390"/>
    </row>
    <row r="8" spans="2:19" x14ac:dyDescent="0.25">
      <c r="B8" s="376">
        <f t="shared" si="6"/>
        <v>-24</v>
      </c>
      <c r="C8" s="399">
        <f t="shared" si="0"/>
        <v>-21.555111480342184</v>
      </c>
      <c r="D8" s="400">
        <f>SUM($E8:E$55)</f>
        <v>14900</v>
      </c>
      <c r="E8" s="377">
        <v>0</v>
      </c>
      <c r="F8" s="418">
        <f t="shared" si="1"/>
        <v>0</v>
      </c>
      <c r="G8" s="379">
        <f>SUM($E8:E$55)*C8</f>
        <v>-321171.16105709854</v>
      </c>
      <c r="H8" s="378"/>
      <c r="I8" s="378">
        <f>-(-SUM($F8:F$55)-SUM($H8:H$55))</f>
        <v>-198248.01989152987</v>
      </c>
      <c r="J8" s="408">
        <f t="shared" si="5"/>
        <v>-220734.30154772667</v>
      </c>
      <c r="K8" s="401">
        <f t="shared" si="2"/>
        <v>1.6172659439254102</v>
      </c>
      <c r="L8" s="378"/>
      <c r="M8" s="427">
        <f t="shared" si="3"/>
        <v>21.163403791728349</v>
      </c>
      <c r="N8" s="446"/>
      <c r="O8" s="446"/>
      <c r="P8" s="379">
        <f>SUM($E8:E$55)*170/35/$B$1</f>
        <v>64998.925452031843</v>
      </c>
      <c r="Q8" s="402"/>
      <c r="R8" s="434">
        <f t="shared" si="4"/>
        <v>-519419.1809486284</v>
      </c>
      <c r="S8" s="390"/>
    </row>
    <row r="9" spans="2:19" x14ac:dyDescent="0.25">
      <c r="B9" s="376">
        <f t="shared" si="6"/>
        <v>-23</v>
      </c>
      <c r="C9" s="399">
        <f t="shared" si="0"/>
        <v>-20.656981835327926</v>
      </c>
      <c r="D9" s="400">
        <f>SUM($E9:E$55)</f>
        <v>14900</v>
      </c>
      <c r="E9" s="377">
        <v>0</v>
      </c>
      <c r="F9" s="418">
        <f t="shared" si="1"/>
        <v>0</v>
      </c>
      <c r="G9" s="379">
        <f>SUM($E9:E$55)*C9</f>
        <v>-307789.02934638609</v>
      </c>
      <c r="H9" s="378"/>
      <c r="I9" s="378">
        <f>-(-SUM($F9:F$55)-SUM($H9:H$55))</f>
        <v>-198248.01989152987</v>
      </c>
      <c r="J9" s="408">
        <f t="shared" si="5"/>
        <v>-220734.30154772667</v>
      </c>
      <c r="K9" s="401">
        <f t="shared" si="2"/>
        <v>1.6441035936612975</v>
      </c>
      <c r="L9" s="378"/>
      <c r="M9" s="427">
        <f t="shared" si="3"/>
        <v>21.163403791728349</v>
      </c>
      <c r="N9" s="446"/>
      <c r="O9" s="446"/>
      <c r="P9" s="379">
        <f>SUM($E9:E$55)*170/35/$B$1</f>
        <v>64998.925452031843</v>
      </c>
      <c r="Q9" s="402"/>
      <c r="R9" s="434">
        <f t="shared" si="4"/>
        <v>-506037.04923791596</v>
      </c>
      <c r="S9" s="390"/>
    </row>
    <row r="10" spans="2:19" x14ac:dyDescent="0.25">
      <c r="B10" s="376">
        <f t="shared" si="6"/>
        <v>-22</v>
      </c>
      <c r="C10" s="399">
        <f t="shared" si="0"/>
        <v>-19.758852190313672</v>
      </c>
      <c r="D10" s="400">
        <f>SUM($E10:E$55)</f>
        <v>14900</v>
      </c>
      <c r="E10" s="377">
        <v>0</v>
      </c>
      <c r="F10" s="418">
        <f t="shared" si="1"/>
        <v>0</v>
      </c>
      <c r="G10" s="379">
        <f>SUM($E10:E$55)*C10</f>
        <v>-294406.8976356737</v>
      </c>
      <c r="H10" s="378"/>
      <c r="I10" s="378">
        <f>-(-SUM($F10:F$55)-SUM($H10:H$55))</f>
        <v>-198248.01989152987</v>
      </c>
      <c r="J10" s="408">
        <f t="shared" si="5"/>
        <v>-220734.30154772667</v>
      </c>
      <c r="K10" s="401">
        <f t="shared" si="2"/>
        <v>1.673381029736811</v>
      </c>
      <c r="L10" s="378"/>
      <c r="M10" s="427">
        <f t="shared" si="3"/>
        <v>21.163403791728349</v>
      </c>
      <c r="N10" s="446"/>
      <c r="O10" s="446"/>
      <c r="P10" s="379">
        <f>SUM($E10:E$55)*170/35/$B$1</f>
        <v>64998.925452031843</v>
      </c>
      <c r="Q10" s="402"/>
      <c r="R10" s="434">
        <f t="shared" si="4"/>
        <v>-492654.91752720356</v>
      </c>
      <c r="S10" s="390"/>
    </row>
    <row r="11" spans="2:19" x14ac:dyDescent="0.25">
      <c r="B11" s="376">
        <f t="shared" si="6"/>
        <v>-21</v>
      </c>
      <c r="C11" s="399">
        <f t="shared" si="0"/>
        <v>-18.860722545299414</v>
      </c>
      <c r="D11" s="400">
        <f>SUM($E11:E$55)</f>
        <v>14900</v>
      </c>
      <c r="E11" s="377">
        <v>0</v>
      </c>
      <c r="F11" s="418">
        <f t="shared" si="1"/>
        <v>0</v>
      </c>
      <c r="G11" s="379">
        <f>SUM($E11:E$55)*C11</f>
        <v>-281024.76592496125</v>
      </c>
      <c r="H11" s="378"/>
      <c r="I11" s="378">
        <f>-(-SUM($F11:F$55)-SUM($H11:H$55))</f>
        <v>-198248.01989152987</v>
      </c>
      <c r="J11" s="408">
        <f t="shared" si="5"/>
        <v>-220734.30154772667</v>
      </c>
      <c r="K11" s="401">
        <f t="shared" si="2"/>
        <v>1.7054467930576116</v>
      </c>
      <c r="L11" s="378"/>
      <c r="M11" s="427">
        <f t="shared" si="3"/>
        <v>21.163403791728349</v>
      </c>
      <c r="N11" s="446"/>
      <c r="O11" s="446"/>
      <c r="P11" s="379">
        <f>SUM($E11:E$55)*170/35/$B$1</f>
        <v>64998.925452031843</v>
      </c>
      <c r="Q11" s="402"/>
      <c r="R11" s="434">
        <f t="shared" si="4"/>
        <v>-479272.78581649112</v>
      </c>
      <c r="S11" s="390"/>
    </row>
    <row r="12" spans="2:19" x14ac:dyDescent="0.25">
      <c r="B12" s="376">
        <f t="shared" si="6"/>
        <v>-20</v>
      </c>
      <c r="C12" s="399">
        <f t="shared" si="0"/>
        <v>-17.962592900285156</v>
      </c>
      <c r="D12" s="400">
        <f>SUM($E12:E$55)</f>
        <v>14900</v>
      </c>
      <c r="E12" s="377">
        <v>0</v>
      </c>
      <c r="F12" s="418">
        <f t="shared" si="1"/>
        <v>0</v>
      </c>
      <c r="G12" s="379">
        <f>SUM($E12:E$55)*C12</f>
        <v>-267642.6342142488</v>
      </c>
      <c r="H12" s="378"/>
      <c r="I12" s="378">
        <f>-(-SUM($F12:F$55)-SUM($H12:H$55))</f>
        <v>-198248.01989152987</v>
      </c>
      <c r="J12" s="408">
        <f t="shared" si="5"/>
        <v>-220734.30154772667</v>
      </c>
      <c r="K12" s="401">
        <f t="shared" si="2"/>
        <v>1.7407191327104923</v>
      </c>
      <c r="L12" s="378"/>
      <c r="M12" s="427">
        <f t="shared" si="3"/>
        <v>21.163403791728349</v>
      </c>
      <c r="N12" s="446"/>
      <c r="O12" s="446"/>
      <c r="P12" s="379">
        <f>SUM($E12:E$55)*170/35/$B$1</f>
        <v>64998.925452031843</v>
      </c>
      <c r="Q12" s="402"/>
      <c r="R12" s="434">
        <f t="shared" si="4"/>
        <v>-465890.65410577867</v>
      </c>
      <c r="S12" s="390"/>
    </row>
    <row r="13" spans="2:19" x14ac:dyDescent="0.25">
      <c r="B13" s="376">
        <f t="shared" si="6"/>
        <v>-19</v>
      </c>
      <c r="C13" s="399">
        <f t="shared" si="0"/>
        <v>-17.064463255270898</v>
      </c>
      <c r="D13" s="400">
        <f>SUM($E13:E$55)</f>
        <v>14900</v>
      </c>
      <c r="E13" s="377">
        <v>0</v>
      </c>
      <c r="F13" s="418">
        <f t="shared" si="1"/>
        <v>0</v>
      </c>
      <c r="G13" s="379">
        <f>SUM($E13:E$55)*C13</f>
        <v>-254260.50250353638</v>
      </c>
      <c r="H13" s="378"/>
      <c r="I13" s="378">
        <f>-(-SUM($F13:F$55)-SUM($H13:H$55))</f>
        <v>-198248.01989152987</v>
      </c>
      <c r="J13" s="408">
        <f t="shared" si="5"/>
        <v>-220734.30154772667</v>
      </c>
      <c r="K13" s="401">
        <f t="shared" si="2"/>
        <v>1.7797043502215706</v>
      </c>
      <c r="L13" s="378"/>
      <c r="M13" s="427">
        <f t="shared" si="3"/>
        <v>21.163403791728349</v>
      </c>
      <c r="N13" s="446"/>
      <c r="O13" s="446"/>
      <c r="P13" s="379">
        <f>SUM($E13:E$55)*170/35/$B$1</f>
        <v>64998.925452031843</v>
      </c>
      <c r="Q13" s="402"/>
      <c r="R13" s="434">
        <f t="shared" si="4"/>
        <v>-452508.52239506622</v>
      </c>
      <c r="S13" s="390"/>
    </row>
    <row r="14" spans="2:19" x14ac:dyDescent="0.25">
      <c r="B14" s="376">
        <f t="shared" si="6"/>
        <v>-18</v>
      </c>
      <c r="C14" s="399">
        <f t="shared" si="0"/>
        <v>-16.16633361025664</v>
      </c>
      <c r="D14" s="400">
        <f>SUM($E14:E$55)</f>
        <v>14900</v>
      </c>
      <c r="E14" s="377">
        <v>0</v>
      </c>
      <c r="F14" s="418">
        <f t="shared" si="1"/>
        <v>0</v>
      </c>
      <c r="G14" s="379">
        <f>SUM($E14:E$55)*C14</f>
        <v>-240878.37079282393</v>
      </c>
      <c r="H14" s="378"/>
      <c r="I14" s="378">
        <f>-(-SUM($F14:F$55)-SUM($H14:H$55))</f>
        <v>-198248.01989152987</v>
      </c>
      <c r="J14" s="408">
        <f t="shared" si="5"/>
        <v>-220734.30154772667</v>
      </c>
      <c r="K14" s="401">
        <f t="shared" si="2"/>
        <v>1.8230212585672134</v>
      </c>
      <c r="L14" s="378"/>
      <c r="M14" s="427">
        <f t="shared" si="3"/>
        <v>21.163403791728349</v>
      </c>
      <c r="N14" s="446"/>
      <c r="O14" s="446"/>
      <c r="P14" s="379">
        <f>SUM($E14:E$55)*170/35/$B$1</f>
        <v>64998.925452031843</v>
      </c>
      <c r="Q14" s="402"/>
      <c r="R14" s="434">
        <f t="shared" si="4"/>
        <v>-439126.39068435377</v>
      </c>
      <c r="S14" s="390"/>
    </row>
    <row r="15" spans="2:19" x14ac:dyDescent="0.25">
      <c r="B15" s="376">
        <f t="shared" si="6"/>
        <v>-17</v>
      </c>
      <c r="C15" s="399">
        <f t="shared" si="0"/>
        <v>-15.268203965242382</v>
      </c>
      <c r="D15" s="400">
        <f>SUM($E15:E$55)</f>
        <v>14900</v>
      </c>
      <c r="E15" s="377">
        <v>0</v>
      </c>
      <c r="F15" s="418">
        <f t="shared" si="1"/>
        <v>0</v>
      </c>
      <c r="G15" s="379">
        <f>SUM($E15:E$55)*C15</f>
        <v>-227496.23908211148</v>
      </c>
      <c r="H15" s="378"/>
      <c r="I15" s="378">
        <f>-(-SUM($F15:F$55)-SUM($H15:H$55))</f>
        <v>-198248.01989152987</v>
      </c>
      <c r="J15" s="408">
        <f t="shared" si="5"/>
        <v>-220734.30154772667</v>
      </c>
      <c r="K15" s="401">
        <f t="shared" si="2"/>
        <v>1.8714342737770495</v>
      </c>
      <c r="L15" s="378"/>
      <c r="M15" s="427">
        <f t="shared" si="3"/>
        <v>21.163403791728349</v>
      </c>
      <c r="N15" s="446"/>
      <c r="O15" s="446"/>
      <c r="P15" s="379">
        <f>SUM($E15:E$55)*170/35/$B$1</f>
        <v>64998.925452031843</v>
      </c>
      <c r="Q15" s="402"/>
      <c r="R15" s="434">
        <f t="shared" si="4"/>
        <v>-425744.25897364132</v>
      </c>
      <c r="S15" s="390"/>
    </row>
    <row r="16" spans="2:19" x14ac:dyDescent="0.25">
      <c r="B16" s="376">
        <f t="shared" si="6"/>
        <v>-16</v>
      </c>
      <c r="C16" s="399">
        <f t="shared" si="0"/>
        <v>-14.370074320228124</v>
      </c>
      <c r="D16" s="400">
        <f>SUM($E16:E$55)</f>
        <v>14900</v>
      </c>
      <c r="E16" s="377">
        <v>0</v>
      </c>
      <c r="F16" s="418">
        <f t="shared" si="1"/>
        <v>0</v>
      </c>
      <c r="G16" s="379">
        <f>SUM($E16:E$55)*C16</f>
        <v>-214114.10737139903</v>
      </c>
      <c r="H16" s="378"/>
      <c r="I16" s="378">
        <f>-(-SUM($F16:F$55)-SUM($H16:H$55))</f>
        <v>-198248.01989152987</v>
      </c>
      <c r="J16" s="408">
        <f t="shared" si="5"/>
        <v>-220734.30154772667</v>
      </c>
      <c r="K16" s="401">
        <f t="shared" si="2"/>
        <v>1.925898915888115</v>
      </c>
      <c r="L16" s="378"/>
      <c r="M16" s="427">
        <f t="shared" si="3"/>
        <v>21.163403791728349</v>
      </c>
      <c r="N16" s="446"/>
      <c r="O16" s="446"/>
      <c r="P16" s="379">
        <f>SUM($E16:E$55)*170/35/$B$1</f>
        <v>64998.925452031843</v>
      </c>
      <c r="Q16" s="402"/>
      <c r="R16" s="434">
        <f t="shared" si="4"/>
        <v>-412362.12726292887</v>
      </c>
      <c r="S16" s="390"/>
    </row>
    <row r="17" spans="2:19" x14ac:dyDescent="0.25">
      <c r="B17" s="376">
        <f t="shared" si="6"/>
        <v>-15</v>
      </c>
      <c r="C17" s="399">
        <f t="shared" si="0"/>
        <v>-13.471944675213866</v>
      </c>
      <c r="D17" s="400">
        <f>SUM($E17:E$55)</f>
        <v>14900</v>
      </c>
      <c r="E17" s="377">
        <v>0</v>
      </c>
      <c r="F17" s="418">
        <f t="shared" si="1"/>
        <v>0</v>
      </c>
      <c r="G17" s="379">
        <f>SUM($E17:E$55)*C17</f>
        <v>-200731.97566068661</v>
      </c>
      <c r="H17" s="378"/>
      <c r="I17" s="378">
        <f>-(-SUM($F17:F$55)-SUM($H17:H$55))</f>
        <v>-198248.01989152987</v>
      </c>
      <c r="J17" s="408">
        <f t="shared" si="5"/>
        <v>-220734.30154772667</v>
      </c>
      <c r="K17" s="401">
        <f t="shared" si="2"/>
        <v>1.9876255102806561</v>
      </c>
      <c r="L17" s="378"/>
      <c r="M17" s="427">
        <f t="shared" si="3"/>
        <v>21.163403791728349</v>
      </c>
      <c r="N17" s="446"/>
      <c r="O17" s="446"/>
      <c r="P17" s="379">
        <f>SUM($E17:E$55)*170/35/$B$1</f>
        <v>64998.925452031843</v>
      </c>
      <c r="Q17" s="402"/>
      <c r="R17" s="434">
        <f t="shared" si="4"/>
        <v>-398979.99555221648</v>
      </c>
      <c r="S17" s="391"/>
    </row>
    <row r="18" spans="2:19" x14ac:dyDescent="0.25">
      <c r="B18" s="376">
        <f t="shared" si="6"/>
        <v>-14</v>
      </c>
      <c r="C18" s="399">
        <f t="shared" si="0"/>
        <v>-12.573815030199608</v>
      </c>
      <c r="D18" s="400">
        <f>SUM($E18:E$55)</f>
        <v>14900</v>
      </c>
      <c r="E18" s="377">
        <v>0</v>
      </c>
      <c r="F18" s="418">
        <f t="shared" si="1"/>
        <v>0</v>
      </c>
      <c r="G18" s="379">
        <f>SUM($E18:E$55)*C18</f>
        <v>-187349.84394997417</v>
      </c>
      <c r="H18" s="378"/>
      <c r="I18" s="378">
        <f>-(-SUM($F18:F$55)-SUM($H18:H$55))</f>
        <v>-198248.01989152987</v>
      </c>
      <c r="J18" s="408">
        <f t="shared" si="5"/>
        <v>-220734.30154772667</v>
      </c>
      <c r="K18" s="401">
        <f t="shared" si="2"/>
        <v>2.0581701895864173</v>
      </c>
      <c r="L18" s="378"/>
      <c r="M18" s="427">
        <f t="shared" si="3"/>
        <v>21.163403791728349</v>
      </c>
      <c r="N18" s="446"/>
      <c r="O18" s="446"/>
      <c r="P18" s="379">
        <f>SUM($E18:E$55)*170/35/$B$1</f>
        <v>64998.925452031843</v>
      </c>
      <c r="Q18" s="402"/>
      <c r="R18" s="434">
        <f t="shared" si="4"/>
        <v>-385597.86384150403</v>
      </c>
      <c r="S18" s="391"/>
    </row>
    <row r="19" spans="2:19" x14ac:dyDescent="0.25">
      <c r="B19" s="376">
        <f t="shared" si="6"/>
        <v>-13</v>
      </c>
      <c r="C19" s="399">
        <f t="shared" si="0"/>
        <v>-11.67568538518535</v>
      </c>
      <c r="D19" s="400">
        <f>SUM($E19:E$55)</f>
        <v>14900</v>
      </c>
      <c r="E19" s="377">
        <v>0</v>
      </c>
      <c r="F19" s="418">
        <f t="shared" si="1"/>
        <v>0</v>
      </c>
      <c r="G19" s="379">
        <f>SUM($E19:E$55)*C19</f>
        <v>-173967.71223926172</v>
      </c>
      <c r="H19" s="378"/>
      <c r="I19" s="378">
        <f>-(-SUM($F19:F$55)-SUM($H19:H$55))</f>
        <v>-198248.01989152987</v>
      </c>
      <c r="J19" s="408">
        <f t="shared" si="5"/>
        <v>-220734.30154772667</v>
      </c>
      <c r="K19" s="401">
        <f t="shared" si="2"/>
        <v>2.1395678964776801</v>
      </c>
      <c r="L19" s="378"/>
      <c r="M19" s="427">
        <f t="shared" si="3"/>
        <v>21.163403791728349</v>
      </c>
      <c r="N19" s="446"/>
      <c r="O19" s="446"/>
      <c r="P19" s="379">
        <f>SUM($E19:E$55)*170/35/$B$1</f>
        <v>64998.925452031843</v>
      </c>
      <c r="Q19" s="402"/>
      <c r="R19" s="434">
        <f t="shared" si="4"/>
        <v>-372215.73213079158</v>
      </c>
      <c r="S19" s="391"/>
    </row>
    <row r="20" spans="2:19" x14ac:dyDescent="0.25">
      <c r="B20" s="376">
        <f t="shared" si="6"/>
        <v>-12</v>
      </c>
      <c r="C20" s="399">
        <f t="shared" si="0"/>
        <v>-10.777555740171092</v>
      </c>
      <c r="D20" s="400">
        <f>SUM($E20:E$55)</f>
        <v>14900</v>
      </c>
      <c r="E20" s="377">
        <v>0</v>
      </c>
      <c r="F20" s="418">
        <f t="shared" si="1"/>
        <v>0</v>
      </c>
      <c r="G20" s="379">
        <f>SUM($E20:E$55)*C20</f>
        <v>-160585.58052854927</v>
      </c>
      <c r="H20" s="378"/>
      <c r="I20" s="378">
        <f>-(-SUM($F20:F$55)-SUM($H20:H$55))</f>
        <v>-198248.01989152987</v>
      </c>
      <c r="J20" s="408">
        <f t="shared" si="5"/>
        <v>-220734.30154772667</v>
      </c>
      <c r="K20" s="401">
        <f t="shared" si="2"/>
        <v>2.2345318878508205</v>
      </c>
      <c r="L20" s="378"/>
      <c r="M20" s="427">
        <f t="shared" si="3"/>
        <v>21.163403791728349</v>
      </c>
      <c r="N20" s="446"/>
      <c r="O20" s="446"/>
      <c r="P20" s="379">
        <f>SUM($E20:E$55)*170/35/$B$1</f>
        <v>64998.925452031843</v>
      </c>
      <c r="Q20" s="402"/>
      <c r="R20" s="434">
        <f t="shared" si="4"/>
        <v>-358833.60042007914</v>
      </c>
      <c r="S20" s="391"/>
    </row>
    <row r="21" spans="2:19" x14ac:dyDescent="0.25">
      <c r="B21" s="376">
        <f t="shared" si="6"/>
        <v>-11</v>
      </c>
      <c r="C21" s="399">
        <f t="shared" si="0"/>
        <v>-9.8794260951568358</v>
      </c>
      <c r="D21" s="400">
        <f>SUM($E21:E$55)</f>
        <v>14900</v>
      </c>
      <c r="E21" s="377">
        <v>0</v>
      </c>
      <c r="F21" s="418">
        <f t="shared" si="1"/>
        <v>0</v>
      </c>
      <c r="G21" s="379">
        <f>SUM($E21:E$55)*C21</f>
        <v>-147203.44881783685</v>
      </c>
      <c r="H21" s="378"/>
      <c r="I21" s="378">
        <f>-(-SUM($F21:F$55)-SUM($H21:H$55))</f>
        <v>-198248.01989152987</v>
      </c>
      <c r="J21" s="408">
        <f t="shared" si="5"/>
        <v>-220734.30154772667</v>
      </c>
      <c r="K21" s="401">
        <f t="shared" si="2"/>
        <v>2.346762059473622</v>
      </c>
      <c r="L21" s="378"/>
      <c r="M21" s="427">
        <f t="shared" si="3"/>
        <v>21.163403791728349</v>
      </c>
      <c r="N21" s="446"/>
      <c r="O21" s="446"/>
      <c r="P21" s="379">
        <f>SUM($E21:E$55)*170/35/$B$1</f>
        <v>64998.925452031843</v>
      </c>
      <c r="Q21" s="402"/>
      <c r="R21" s="434">
        <f t="shared" si="4"/>
        <v>-345451.46870936675</v>
      </c>
      <c r="S21" s="391"/>
    </row>
    <row r="22" spans="2:19" x14ac:dyDescent="0.25">
      <c r="B22" s="376">
        <f t="shared" si="6"/>
        <v>-10</v>
      </c>
      <c r="C22" s="399">
        <f t="shared" si="0"/>
        <v>-8.9812964501425778</v>
      </c>
      <c r="D22" s="400">
        <f>SUM($E22:E$55)</f>
        <v>14900</v>
      </c>
      <c r="E22" s="377">
        <v>0</v>
      </c>
      <c r="F22" s="418">
        <f t="shared" si="1"/>
        <v>0</v>
      </c>
      <c r="G22" s="379">
        <f>SUM($E22:E$55)*C22</f>
        <v>-133821.3171071244</v>
      </c>
      <c r="H22" s="378"/>
      <c r="I22" s="378">
        <f>-(-SUM($F22:F$55)-SUM($H22:H$55))</f>
        <v>-198248.01989152987</v>
      </c>
      <c r="J22" s="408">
        <f t="shared" si="5"/>
        <v>-220734.30154772667</v>
      </c>
      <c r="K22" s="401">
        <f t="shared" si="2"/>
        <v>2.4814382654209846</v>
      </c>
      <c r="L22" s="378">
        <f>SUM($E22:E$26)*C22-SUM($F22:F$26)</f>
        <v>0</v>
      </c>
      <c r="M22" s="427">
        <f t="shared" si="3"/>
        <v>21.163403791728349</v>
      </c>
      <c r="N22" s="446"/>
      <c r="O22" s="446"/>
      <c r="P22" s="379">
        <f>SUM($E22:E$55)*170/35/$B$1</f>
        <v>64998.925452031843</v>
      </c>
      <c r="Q22" s="402">
        <f t="shared" ref="Q22:Q53" si="7">P22/G22</f>
        <v>-0.48571428571428565</v>
      </c>
      <c r="R22" s="434">
        <f t="shared" si="4"/>
        <v>-332069.3369986543</v>
      </c>
      <c r="S22" s="391"/>
    </row>
    <row r="23" spans="2:19" x14ac:dyDescent="0.25">
      <c r="B23" s="376">
        <f t="shared" si="6"/>
        <v>-9</v>
      </c>
      <c r="C23" s="399">
        <f t="shared" si="0"/>
        <v>-8.0831668051283199</v>
      </c>
      <c r="D23" s="400">
        <f>SUM($E23:E$55)</f>
        <v>14900</v>
      </c>
      <c r="E23" s="377">
        <v>0</v>
      </c>
      <c r="F23" s="418">
        <f t="shared" si="1"/>
        <v>0</v>
      </c>
      <c r="G23" s="379">
        <f>SUM($E23:E$55)*C23</f>
        <v>-120439.18539641197</v>
      </c>
      <c r="H23" s="378"/>
      <c r="I23" s="378">
        <f>-(-SUM($F23:F$55)-SUM($H23:H$55))</f>
        <v>-198248.01989152987</v>
      </c>
      <c r="J23" s="408">
        <f t="shared" si="5"/>
        <v>-220734.30154772667</v>
      </c>
      <c r="K23" s="401">
        <f t="shared" si="2"/>
        <v>2.6460425171344273</v>
      </c>
      <c r="L23" s="378">
        <f>SUM($E23:E$26)*C23-SUM($F23:F$26)</f>
        <v>0</v>
      </c>
      <c r="M23" s="427">
        <f t="shared" si="3"/>
        <v>21.163403791728349</v>
      </c>
      <c r="N23" s="446"/>
      <c r="O23" s="446"/>
      <c r="P23" s="379">
        <f>SUM($E23:E$55)*170/35/$B$1</f>
        <v>64998.925452031843</v>
      </c>
      <c r="Q23" s="402">
        <f t="shared" si="7"/>
        <v>-0.53968253968253954</v>
      </c>
      <c r="R23" s="434">
        <f t="shared" si="4"/>
        <v>-318687.20528794185</v>
      </c>
      <c r="S23" s="391"/>
    </row>
    <row r="24" spans="2:19" x14ac:dyDescent="0.25">
      <c r="B24" s="376">
        <f t="shared" si="6"/>
        <v>-8</v>
      </c>
      <c r="C24" s="399">
        <f t="shared" si="0"/>
        <v>-7.1850371601140619</v>
      </c>
      <c r="D24" s="400">
        <f>SUM($E24:E$55)</f>
        <v>14900</v>
      </c>
      <c r="E24" s="377">
        <v>0</v>
      </c>
      <c r="F24" s="418">
        <f t="shared" si="1"/>
        <v>0</v>
      </c>
      <c r="G24" s="379">
        <f>SUM($E24:E$55)*C24</f>
        <v>-107057.05368569952</v>
      </c>
      <c r="H24" s="378"/>
      <c r="I24" s="378">
        <f>-(-SUM($F24:F$55)-SUM($H24:H$55))</f>
        <v>-198248.01989152987</v>
      </c>
      <c r="J24" s="408">
        <f t="shared" si="5"/>
        <v>-220734.30154772667</v>
      </c>
      <c r="K24" s="401">
        <f t="shared" si="2"/>
        <v>2.8517978317762305</v>
      </c>
      <c r="L24" s="378">
        <f>SUM($E24:E$26)*C24-SUM($F24:F$26)</f>
        <v>0</v>
      </c>
      <c r="M24" s="427">
        <f t="shared" si="3"/>
        <v>21.163403791728349</v>
      </c>
      <c r="N24" s="446"/>
      <c r="O24" s="446"/>
      <c r="P24" s="379">
        <f>SUM($E24:E$55)*170/35/$B$1</f>
        <v>64998.925452031843</v>
      </c>
      <c r="Q24" s="402">
        <f t="shared" si="7"/>
        <v>-0.6071428571428571</v>
      </c>
      <c r="R24" s="434">
        <f t="shared" si="4"/>
        <v>-305305.0735772294</v>
      </c>
      <c r="S24" s="391"/>
    </row>
    <row r="25" spans="2:19" x14ac:dyDescent="0.25">
      <c r="B25" s="376">
        <f t="shared" si="6"/>
        <v>-7</v>
      </c>
      <c r="C25" s="399">
        <f t="shared" si="0"/>
        <v>-6.2869075150998039</v>
      </c>
      <c r="D25" s="400">
        <f>SUM($E25:E$55)</f>
        <v>14900</v>
      </c>
      <c r="E25" s="377">
        <v>0</v>
      </c>
      <c r="F25" s="418">
        <f t="shared" si="1"/>
        <v>0</v>
      </c>
      <c r="G25" s="379">
        <f>SUM($E25:E$55)*C25</f>
        <v>-93674.921974987083</v>
      </c>
      <c r="H25" s="378"/>
      <c r="I25" s="378">
        <f>-(-SUM($F25:F$55)-SUM($H25:H$55))</f>
        <v>-198248.01989152987</v>
      </c>
      <c r="J25" s="408">
        <f t="shared" si="5"/>
        <v>-220734.30154772667</v>
      </c>
      <c r="K25" s="401">
        <f t="shared" si="2"/>
        <v>3.1163403791728346</v>
      </c>
      <c r="L25" s="378">
        <f>SUM($E25:E$26)*C25-SUM($F25:F$26)</f>
        <v>0</v>
      </c>
      <c r="M25" s="427">
        <f t="shared" si="3"/>
        <v>21.163403791728349</v>
      </c>
      <c r="N25" s="446"/>
      <c r="O25" s="446"/>
      <c r="P25" s="379">
        <f>SUM($E25:E$55)*170/35/$B$1</f>
        <v>64998.925452031843</v>
      </c>
      <c r="Q25" s="402">
        <f t="shared" si="7"/>
        <v>-0.69387755102040805</v>
      </c>
      <c r="R25" s="434">
        <f t="shared" si="4"/>
        <v>-291922.94186651695</v>
      </c>
    </row>
    <row r="26" spans="2:19" x14ac:dyDescent="0.25">
      <c r="B26" s="376">
        <f t="shared" si="6"/>
        <v>-6</v>
      </c>
      <c r="C26" s="399">
        <f t="shared" si="0"/>
        <v>-5.388777870085546</v>
      </c>
      <c r="D26" s="400">
        <f>SUM($E26:E$55)</f>
        <v>14900</v>
      </c>
      <c r="E26" s="377">
        <v>0</v>
      </c>
      <c r="F26" s="418">
        <f t="shared" si="1"/>
        <v>0</v>
      </c>
      <c r="G26" s="379">
        <f>SUM($E26:E$55)*C26</f>
        <v>-80292.790264274634</v>
      </c>
      <c r="H26" s="378"/>
      <c r="I26" s="378">
        <f>-(-SUM($F26:F$55)-SUM($H26:H$55))</f>
        <v>-198248.01989152987</v>
      </c>
      <c r="J26" s="408">
        <f t="shared" si="5"/>
        <v>-220734.30154772667</v>
      </c>
      <c r="K26" s="401">
        <f t="shared" si="2"/>
        <v>3.4690637757016409</v>
      </c>
      <c r="L26" s="378">
        <f>SUM($E$26:E26)*C26-SUM($F$26:F26)</f>
        <v>0</v>
      </c>
      <c r="M26" s="427">
        <f t="shared" si="3"/>
        <v>21.163403791728349</v>
      </c>
      <c r="N26" s="446"/>
      <c r="O26" s="446"/>
      <c r="P26" s="379">
        <f>SUM($E26:E$55)*170/35/$B$1</f>
        <v>64998.925452031843</v>
      </c>
      <c r="Q26" s="402">
        <f t="shared" si="7"/>
        <v>-0.80952380952380942</v>
      </c>
      <c r="R26" s="434">
        <f t="shared" si="4"/>
        <v>-278540.8101558045</v>
      </c>
    </row>
    <row r="27" spans="2:19" x14ac:dyDescent="0.25">
      <c r="B27" s="376">
        <f t="shared" si="6"/>
        <v>-5</v>
      </c>
      <c r="C27" s="399">
        <f t="shared" si="0"/>
        <v>-4.4906482250712889</v>
      </c>
      <c r="D27" s="400">
        <f>SUM($E27:E$55)</f>
        <v>14900</v>
      </c>
      <c r="E27" s="377">
        <v>0</v>
      </c>
      <c r="F27" s="418">
        <f t="shared" si="1"/>
        <v>0</v>
      </c>
      <c r="G27" s="379">
        <f>SUM($E27:E$55)*C27</f>
        <v>-66910.6585535622</v>
      </c>
      <c r="H27" s="378"/>
      <c r="I27" s="378">
        <f>-(-SUM($F27:F$55)-SUM($H27:H$55))</f>
        <v>-198248.01989152987</v>
      </c>
      <c r="J27" s="408">
        <f t="shared" si="5"/>
        <v>-220734.30154772667</v>
      </c>
      <c r="K27" s="401">
        <f t="shared" si="2"/>
        <v>3.9628765308419687</v>
      </c>
      <c r="L27" s="378">
        <f>SUM($E$26:E27)*C27-SUM($F$26:F27)</f>
        <v>0</v>
      </c>
      <c r="M27" s="427">
        <f t="shared" si="3"/>
        <v>21.163403791728349</v>
      </c>
      <c r="N27" s="446"/>
      <c r="O27" s="446"/>
      <c r="P27" s="379">
        <f>SUM($E27:E$55)*170/35/$B$1</f>
        <v>64998.925452031843</v>
      </c>
      <c r="Q27" s="402">
        <f t="shared" si="7"/>
        <v>-0.97142857142857131</v>
      </c>
      <c r="R27" s="434">
        <f t="shared" si="4"/>
        <v>-265158.67844509205</v>
      </c>
    </row>
    <row r="28" spans="2:19" x14ac:dyDescent="0.25">
      <c r="B28" s="376">
        <f t="shared" si="6"/>
        <v>-4</v>
      </c>
      <c r="C28" s="399">
        <f t="shared" si="0"/>
        <v>-3.592518580057031</v>
      </c>
      <c r="D28" s="400">
        <f>SUM($E28:E$55)</f>
        <v>14900</v>
      </c>
      <c r="E28" s="377">
        <v>0</v>
      </c>
      <c r="F28" s="418">
        <f t="shared" si="1"/>
        <v>0</v>
      </c>
      <c r="G28" s="379">
        <f>SUM($E28:E$55)*C28</f>
        <v>-53528.526842849758</v>
      </c>
      <c r="H28" s="378"/>
      <c r="I28" s="378">
        <f>-(-SUM($F28:F$55)-SUM($H28:H$55))</f>
        <v>-198248.01989152987</v>
      </c>
      <c r="J28" s="408">
        <f t="shared" si="5"/>
        <v>-220734.30154772667</v>
      </c>
      <c r="K28" s="401">
        <f t="shared" si="2"/>
        <v>4.7035956635524609</v>
      </c>
      <c r="L28" s="378">
        <f>SUM($E$26:E28)*C28-SUM($F$26:F28)</f>
        <v>0</v>
      </c>
      <c r="M28" s="427">
        <f t="shared" si="3"/>
        <v>21.163403791728349</v>
      </c>
      <c r="N28" s="446"/>
      <c r="O28" s="446"/>
      <c r="P28" s="379">
        <f>SUM($E28:E$55)*170/35/$B$1</f>
        <v>64998.925452031843</v>
      </c>
      <c r="Q28" s="402">
        <f t="shared" si="7"/>
        <v>-1.2142857142857142</v>
      </c>
      <c r="R28" s="434">
        <f t="shared" si="4"/>
        <v>-251776.54673437963</v>
      </c>
    </row>
    <row r="29" spans="2:19" x14ac:dyDescent="0.25">
      <c r="B29" s="376">
        <f t="shared" si="6"/>
        <v>-3</v>
      </c>
      <c r="C29" s="399">
        <f t="shared" si="0"/>
        <v>-2.694388935042773</v>
      </c>
      <c r="D29" s="400">
        <f>SUM($E29:E$55)</f>
        <v>14900</v>
      </c>
      <c r="E29" s="377">
        <v>0</v>
      </c>
      <c r="F29" s="418">
        <f t="shared" si="1"/>
        <v>0</v>
      </c>
      <c r="G29" s="379">
        <f>SUM($E29:E$55)*C29</f>
        <v>-40146.395132137317</v>
      </c>
      <c r="H29" s="378"/>
      <c r="I29" s="378">
        <f>-(-SUM($F29:F$55)-SUM($H29:H$55))</f>
        <v>-198248.01989152987</v>
      </c>
      <c r="J29" s="408">
        <f t="shared" si="5"/>
        <v>-220734.30154772667</v>
      </c>
      <c r="K29" s="401">
        <f t="shared" si="2"/>
        <v>5.9381275514032819</v>
      </c>
      <c r="L29" s="378">
        <f>SUM($E$26:E29)*C29-SUM($F$26:F29)</f>
        <v>0</v>
      </c>
      <c r="M29" s="427">
        <f t="shared" si="3"/>
        <v>21.163403791728349</v>
      </c>
      <c r="N29" s="446"/>
      <c r="O29" s="446"/>
      <c r="P29" s="379">
        <f>SUM($E29:E$55)*170/35/$B$1</f>
        <v>64998.925452031843</v>
      </c>
      <c r="Q29" s="402">
        <f t="shared" si="7"/>
        <v>-1.6190476190476188</v>
      </c>
      <c r="R29" s="434">
        <f t="shared" si="4"/>
        <v>-238394.41502366718</v>
      </c>
    </row>
    <row r="30" spans="2:19" x14ac:dyDescent="0.25">
      <c r="B30" s="376">
        <f t="shared" si="6"/>
        <v>-2</v>
      </c>
      <c r="C30" s="399">
        <f t="shared" si="0"/>
        <v>-1.7962592900285155</v>
      </c>
      <c r="D30" s="400">
        <f>SUM($E30:E$55)</f>
        <v>14900</v>
      </c>
      <c r="E30" s="377">
        <v>0</v>
      </c>
      <c r="F30" s="418">
        <f t="shared" si="1"/>
        <v>0</v>
      </c>
      <c r="G30" s="379">
        <f>SUM($E30:E$55)*C30</f>
        <v>-26764.263421424879</v>
      </c>
      <c r="H30" s="378"/>
      <c r="I30" s="378">
        <f>-(-SUM($F30:F$55)-SUM($H30:H$55))</f>
        <v>-198248.01989152987</v>
      </c>
      <c r="J30" s="408">
        <f t="shared" si="5"/>
        <v>-220734.30154772667</v>
      </c>
      <c r="K30" s="401">
        <f t="shared" si="2"/>
        <v>8.4071913271049219</v>
      </c>
      <c r="L30" s="378">
        <f>SUM($E$26:E30)*C30-SUM($F$26:F30)</f>
        <v>0</v>
      </c>
      <c r="M30" s="427">
        <f t="shared" si="3"/>
        <v>21.163403791728349</v>
      </c>
      <c r="N30" s="446"/>
      <c r="O30" s="446"/>
      <c r="P30" s="379">
        <f>SUM($E30:E$55)*170/35/$B$1</f>
        <v>64998.925452031843</v>
      </c>
      <c r="Q30" s="402">
        <f t="shared" si="7"/>
        <v>-2.4285714285714284</v>
      </c>
      <c r="R30" s="434">
        <f t="shared" si="4"/>
        <v>-225012.28331295474</v>
      </c>
    </row>
    <row r="31" spans="2:19" x14ac:dyDescent="0.25">
      <c r="B31" s="376">
        <f t="shared" si="6"/>
        <v>-1</v>
      </c>
      <c r="C31" s="399">
        <f t="shared" si="0"/>
        <v>-0.89812964501425774</v>
      </c>
      <c r="D31" s="400">
        <f>SUM($E31:E$55)</f>
        <v>14900</v>
      </c>
      <c r="E31" s="377">
        <v>0</v>
      </c>
      <c r="F31" s="418">
        <f t="shared" si="1"/>
        <v>0</v>
      </c>
      <c r="G31" s="379">
        <f>SUM($E31:E$55)*C31</f>
        <v>-13382.13171071244</v>
      </c>
      <c r="H31" s="378"/>
      <c r="I31" s="378">
        <f>-(-SUM($F31:F$55)-SUM($H31:H$55))</f>
        <v>-198248.01989152987</v>
      </c>
      <c r="J31" s="408">
        <f t="shared" si="5"/>
        <v>-220734.30154772667</v>
      </c>
      <c r="K31" s="401">
        <f t="shared" si="2"/>
        <v>15.814382654209844</v>
      </c>
      <c r="L31" s="378">
        <f>SUM($E$26:E31)*C31-SUM($F$26:F31)</f>
        <v>0</v>
      </c>
      <c r="M31" s="427">
        <f t="shared" si="3"/>
        <v>21.163403791728349</v>
      </c>
      <c r="N31" s="446"/>
      <c r="O31" s="446"/>
      <c r="P31" s="379">
        <f>SUM($E31:E$55)*170/35/$B$1</f>
        <v>64998.925452031843</v>
      </c>
      <c r="Q31" s="402">
        <f t="shared" si="7"/>
        <v>-4.8571428571428568</v>
      </c>
      <c r="R31" s="434">
        <f t="shared" si="4"/>
        <v>-211630.15160224232</v>
      </c>
    </row>
    <row r="32" spans="2:19" x14ac:dyDescent="0.25">
      <c r="B32" s="376">
        <f t="shared" si="6"/>
        <v>0</v>
      </c>
      <c r="C32" s="399">
        <f t="shared" si="0"/>
        <v>0</v>
      </c>
      <c r="D32" s="400">
        <f>SUM($E32:E$55)</f>
        <v>14900</v>
      </c>
      <c r="E32" s="377">
        <v>0</v>
      </c>
      <c r="F32" s="418">
        <f t="shared" si="1"/>
        <v>0</v>
      </c>
      <c r="G32" s="379">
        <f>SUM($E32:E$55)*C32</f>
        <v>0</v>
      </c>
      <c r="H32" s="378"/>
      <c r="I32" s="378">
        <f>-(-SUM($F32:F$55)-SUM($H32:H$55))</f>
        <v>-198248.01989152987</v>
      </c>
      <c r="J32" s="408">
        <f t="shared" si="5"/>
        <v>-220734.30154772667</v>
      </c>
      <c r="K32" s="401" t="e">
        <f t="shared" si="2"/>
        <v>#DIV/0!</v>
      </c>
      <c r="L32" s="378">
        <f>SUM($E$26:E32)*C32-SUM($F$26:F32)</f>
        <v>0</v>
      </c>
      <c r="M32" s="427">
        <f t="shared" si="3"/>
        <v>21.163403791728349</v>
      </c>
      <c r="N32" s="446"/>
      <c r="O32" s="446"/>
      <c r="P32" s="379">
        <f>SUM($E32:E$55)*170/35/$B$1</f>
        <v>64998.925452031843</v>
      </c>
      <c r="Q32" s="402" t="e">
        <f t="shared" si="7"/>
        <v>#DIV/0!</v>
      </c>
      <c r="R32" s="434">
        <f t="shared" si="4"/>
        <v>-198248.01989152987</v>
      </c>
      <c r="S32" s="391"/>
    </row>
    <row r="33" spans="2:20" x14ac:dyDescent="0.25">
      <c r="B33" s="376">
        <f t="shared" si="6"/>
        <v>1</v>
      </c>
      <c r="C33" s="399">
        <f t="shared" si="0"/>
        <v>0.89812964501425774</v>
      </c>
      <c r="D33" s="400">
        <f>SUM($E33:E$55)</f>
        <v>14900</v>
      </c>
      <c r="E33" s="377">
        <v>0</v>
      </c>
      <c r="F33" s="418">
        <f t="shared" si="1"/>
        <v>0</v>
      </c>
      <c r="G33" s="379">
        <f>SUM($E33:E$55)*C33</f>
        <v>13382.13171071244</v>
      </c>
      <c r="H33" s="378"/>
      <c r="I33" s="378">
        <f>-(-SUM($F33:F$55)-SUM($H33:H$55))</f>
        <v>-198248.01989152987</v>
      </c>
      <c r="J33" s="408">
        <f t="shared" si="5"/>
        <v>-220734.30154772667</v>
      </c>
      <c r="K33" s="401">
        <f t="shared" si="2"/>
        <v>-13.814382654209844</v>
      </c>
      <c r="L33" s="378">
        <f>SUM($E$26:E33)*C33-SUM($F$26:F33)</f>
        <v>0</v>
      </c>
      <c r="M33" s="427">
        <f t="shared" si="3"/>
        <v>21.163403791728349</v>
      </c>
      <c r="N33" s="446"/>
      <c r="O33" s="446"/>
      <c r="P33" s="379">
        <f>SUM($E33:E$55)*170/35/$B$1</f>
        <v>64998.925452031843</v>
      </c>
      <c r="Q33" s="402">
        <f t="shared" si="7"/>
        <v>4.8571428571428568</v>
      </c>
      <c r="R33" s="434">
        <f t="shared" si="4"/>
        <v>-184865.88818081742</v>
      </c>
      <c r="S33" s="391"/>
    </row>
    <row r="34" spans="2:20" x14ac:dyDescent="0.25">
      <c r="B34" s="376">
        <f t="shared" si="6"/>
        <v>2</v>
      </c>
      <c r="C34" s="399">
        <f t="shared" si="0"/>
        <v>1.7962592900285155</v>
      </c>
      <c r="D34" s="400">
        <f>SUM($E34:E$55)</f>
        <v>14900</v>
      </c>
      <c r="E34" s="377">
        <v>0</v>
      </c>
      <c r="F34" s="418">
        <f t="shared" si="1"/>
        <v>0</v>
      </c>
      <c r="G34" s="379">
        <f>SUM($E34:E$55)*C34</f>
        <v>26764.263421424879</v>
      </c>
      <c r="H34" s="378"/>
      <c r="I34" s="378">
        <f>-(-SUM($F34:F$55)-SUM($H34:H$55))</f>
        <v>-198248.01989152987</v>
      </c>
      <c r="J34" s="408">
        <f t="shared" si="5"/>
        <v>-220734.30154772667</v>
      </c>
      <c r="K34" s="401">
        <f t="shared" si="2"/>
        <v>-6.4071913271049219</v>
      </c>
      <c r="L34" s="378">
        <f>SUM($E$26:E34)*C34-SUM($F$26:F34)</f>
        <v>0</v>
      </c>
      <c r="M34" s="427">
        <f t="shared" si="3"/>
        <v>21.163403791728349</v>
      </c>
      <c r="N34" s="446"/>
      <c r="O34" s="446"/>
      <c r="P34" s="379">
        <f>SUM($E34:E$55)*170/35/$B$1</f>
        <v>64998.925452031843</v>
      </c>
      <c r="Q34" s="402">
        <f t="shared" si="7"/>
        <v>2.4285714285714284</v>
      </c>
      <c r="R34" s="434">
        <f t="shared" si="4"/>
        <v>-171483.756470105</v>
      </c>
      <c r="S34" s="391"/>
    </row>
    <row r="35" spans="2:20" x14ac:dyDescent="0.25">
      <c r="B35" s="376">
        <f t="shared" si="6"/>
        <v>3</v>
      </c>
      <c r="C35" s="399">
        <f t="shared" si="0"/>
        <v>2.694388935042773</v>
      </c>
      <c r="D35" s="400">
        <f>SUM($E35:E$55)</f>
        <v>14900</v>
      </c>
      <c r="E35" s="377">
        <v>0</v>
      </c>
      <c r="F35" s="418">
        <f t="shared" si="1"/>
        <v>0</v>
      </c>
      <c r="G35" s="379">
        <f>SUM($E35:E$55)*C35</f>
        <v>40146.395132137317</v>
      </c>
      <c r="H35" s="378"/>
      <c r="I35" s="378">
        <f>-(-SUM($F35:F$55)-SUM($H35:H$55))</f>
        <v>-198248.01989152987</v>
      </c>
      <c r="J35" s="408">
        <f t="shared" si="5"/>
        <v>-220734.30154772667</v>
      </c>
      <c r="K35" s="401">
        <f t="shared" si="2"/>
        <v>-3.9381275514032814</v>
      </c>
      <c r="L35" s="378">
        <f>SUM($E$26:E35)*C35-SUM($F$26:F35)</f>
        <v>0</v>
      </c>
      <c r="M35" s="427">
        <f t="shared" si="3"/>
        <v>21.163403791728349</v>
      </c>
      <c r="N35" s="446"/>
      <c r="O35" s="446"/>
      <c r="P35" s="379">
        <f>SUM($E35:E$55)*170/35/$B$1</f>
        <v>64998.925452031843</v>
      </c>
      <c r="Q35" s="402">
        <f t="shared" si="7"/>
        <v>1.6190476190476188</v>
      </c>
      <c r="R35" s="434">
        <f t="shared" si="4"/>
        <v>-158101.62475939255</v>
      </c>
      <c r="S35" s="391"/>
    </row>
    <row r="36" spans="2:20" x14ac:dyDescent="0.25">
      <c r="B36" s="376">
        <f t="shared" si="6"/>
        <v>4</v>
      </c>
      <c r="C36" s="399">
        <f t="shared" si="0"/>
        <v>3.592518580057031</v>
      </c>
      <c r="D36" s="400">
        <f>SUM($E36:E$55)</f>
        <v>14900</v>
      </c>
      <c r="E36" s="377">
        <v>0</v>
      </c>
      <c r="F36" s="418">
        <f t="shared" si="1"/>
        <v>0</v>
      </c>
      <c r="G36" s="379">
        <f>SUM($E36:E$55)*C36</f>
        <v>53528.526842849758</v>
      </c>
      <c r="H36" s="378"/>
      <c r="I36" s="378">
        <f>-(-SUM($F36:F$55)-SUM($H36:H$55))</f>
        <v>-198248.01989152987</v>
      </c>
      <c r="J36" s="408">
        <f t="shared" si="5"/>
        <v>-220734.30154772667</v>
      </c>
      <c r="K36" s="401">
        <f t="shared" si="2"/>
        <v>-2.7035956635524609</v>
      </c>
      <c r="L36" s="378">
        <f>SUM($E$26:E36)*C36-SUM($F$26:F36)</f>
        <v>0</v>
      </c>
      <c r="M36" s="427">
        <f t="shared" si="3"/>
        <v>21.163403791728349</v>
      </c>
      <c r="N36" s="446"/>
      <c r="O36" s="446"/>
      <c r="P36" s="379">
        <f>SUM($E36:E$55)*170/35/$B$1</f>
        <v>64998.925452031843</v>
      </c>
      <c r="Q36" s="402">
        <f t="shared" si="7"/>
        <v>1.2142857142857142</v>
      </c>
      <c r="R36" s="434">
        <f t="shared" si="4"/>
        <v>-144719.4930486801</v>
      </c>
      <c r="S36" s="391"/>
    </row>
    <row r="37" spans="2:20" x14ac:dyDescent="0.25">
      <c r="B37" s="376">
        <f t="shared" si="6"/>
        <v>5</v>
      </c>
      <c r="C37" s="399">
        <f t="shared" ref="C37:C68" si="8">B37/$B$1</f>
        <v>4.4906482250712889</v>
      </c>
      <c r="D37" s="400">
        <f>SUM($E37:E$55)</f>
        <v>14900</v>
      </c>
      <c r="E37" s="377">
        <v>0</v>
      </c>
      <c r="F37" s="418">
        <f t="shared" si="1"/>
        <v>0</v>
      </c>
      <c r="G37" s="379">
        <f>SUM($E37:E$55)*C37</f>
        <v>66910.6585535622</v>
      </c>
      <c r="H37" s="378"/>
      <c r="I37" s="378">
        <f>-(-SUM($F37:F$55)-SUM($H37:H$55))</f>
        <v>-198248.01989152987</v>
      </c>
      <c r="J37" s="408">
        <f t="shared" si="5"/>
        <v>-220734.30154772667</v>
      </c>
      <c r="K37" s="401">
        <f t="shared" si="2"/>
        <v>-1.9628765308419689</v>
      </c>
      <c r="L37" s="378">
        <f>SUM($E$26:E37)*C37-SUM($F$26:F37)</f>
        <v>0</v>
      </c>
      <c r="M37" s="427">
        <f t="shared" ref="M37:M54" si="9">I37/($Q$1*D37-D37)*$B$1</f>
        <v>21.163403791728349</v>
      </c>
      <c r="N37" s="446"/>
      <c r="O37" s="446"/>
      <c r="P37" s="379">
        <f>SUM($E37:E$55)*170/35/$B$1</f>
        <v>64998.925452031843</v>
      </c>
      <c r="Q37" s="402">
        <f t="shared" si="7"/>
        <v>0.97142857142857131</v>
      </c>
      <c r="R37" s="434">
        <f t="shared" ref="R37:R68" si="10">G37+I37</f>
        <v>-131337.36133796768</v>
      </c>
      <c r="S37" s="391"/>
    </row>
    <row r="38" spans="2:20" x14ac:dyDescent="0.25">
      <c r="B38" s="376">
        <f t="shared" si="6"/>
        <v>6</v>
      </c>
      <c r="C38" s="399">
        <f t="shared" si="8"/>
        <v>5.388777870085546</v>
      </c>
      <c r="D38" s="400">
        <f>SUM($E38:E$55)</f>
        <v>14900</v>
      </c>
      <c r="E38" s="377">
        <v>0</v>
      </c>
      <c r="F38" s="418">
        <f t="shared" si="1"/>
        <v>0</v>
      </c>
      <c r="G38" s="379">
        <f>SUM($E38:E$55)*C38</f>
        <v>80292.790264274634</v>
      </c>
      <c r="H38" s="378"/>
      <c r="I38" s="378">
        <f>-(-SUM($F38:F$55)-SUM($H38:H$55))</f>
        <v>-198248.01989152987</v>
      </c>
      <c r="J38" s="408">
        <f t="shared" si="5"/>
        <v>-220734.30154772667</v>
      </c>
      <c r="K38" s="401">
        <f t="shared" si="2"/>
        <v>-1.4690637757016407</v>
      </c>
      <c r="L38" s="378">
        <f>SUM($E$26:E38)*C38-SUM($F$26:F38)</f>
        <v>0</v>
      </c>
      <c r="M38" s="427">
        <f t="shared" si="9"/>
        <v>21.163403791728349</v>
      </c>
      <c r="N38" s="446"/>
      <c r="O38" s="446"/>
      <c r="P38" s="379">
        <f>SUM($E38:E$55)*170/35/$B$1</f>
        <v>64998.925452031843</v>
      </c>
      <c r="Q38" s="402">
        <f t="shared" si="7"/>
        <v>0.80952380952380942</v>
      </c>
      <c r="R38" s="434">
        <f t="shared" si="10"/>
        <v>-117955.22962725523</v>
      </c>
      <c r="S38" s="391"/>
    </row>
    <row r="39" spans="2:20" x14ac:dyDescent="0.25">
      <c r="B39" s="376">
        <f t="shared" si="6"/>
        <v>7</v>
      </c>
      <c r="C39" s="399">
        <f t="shared" si="8"/>
        <v>6.2869075150998039</v>
      </c>
      <c r="D39" s="400">
        <f>SUM($E39:E$55)</f>
        <v>14900</v>
      </c>
      <c r="E39" s="377">
        <v>0</v>
      </c>
      <c r="F39" s="418">
        <f t="shared" si="1"/>
        <v>0</v>
      </c>
      <c r="G39" s="379">
        <f>SUM($E39:E$55)*C39</f>
        <v>93674.921974987083</v>
      </c>
      <c r="H39" s="378"/>
      <c r="I39" s="378">
        <f>-(-SUM($F39:F$55)-SUM($H39:H$55))</f>
        <v>-198248.01989152987</v>
      </c>
      <c r="J39" s="408">
        <f t="shared" si="5"/>
        <v>-220734.30154772667</v>
      </c>
      <c r="K39" s="401">
        <f t="shared" si="2"/>
        <v>-1.1163403791728348</v>
      </c>
      <c r="L39" s="378">
        <f>SUM($E$26:E39)*C39-SUM($F$26:F39)</f>
        <v>0</v>
      </c>
      <c r="M39" s="427">
        <f t="shared" si="9"/>
        <v>21.163403791728349</v>
      </c>
      <c r="N39" s="446"/>
      <c r="O39" s="446"/>
      <c r="P39" s="379">
        <f>SUM($E39:E$55)*170/35/$B$1</f>
        <v>64998.925452031843</v>
      </c>
      <c r="Q39" s="402">
        <f t="shared" si="7"/>
        <v>0.69387755102040805</v>
      </c>
      <c r="R39" s="434">
        <f t="shared" si="10"/>
        <v>-104573.09791654279</v>
      </c>
      <c r="S39" s="391"/>
    </row>
    <row r="40" spans="2:20" x14ac:dyDescent="0.25">
      <c r="B40" s="376">
        <f t="shared" si="6"/>
        <v>8</v>
      </c>
      <c r="C40" s="399">
        <f t="shared" si="8"/>
        <v>7.1850371601140619</v>
      </c>
      <c r="D40" s="400">
        <f>SUM($E40:E$55)</f>
        <v>14900</v>
      </c>
      <c r="E40" s="377">
        <v>0</v>
      </c>
      <c r="F40" s="418">
        <f t="shared" si="1"/>
        <v>0</v>
      </c>
      <c r="G40" s="379">
        <f>SUM($E40:E$55)*C40</f>
        <v>107057.05368569952</v>
      </c>
      <c r="H40" s="378"/>
      <c r="I40" s="378">
        <f>-(-SUM($F40:F$55)-SUM($H40:H$55))</f>
        <v>-198248.01989152987</v>
      </c>
      <c r="J40" s="408">
        <f t="shared" si="5"/>
        <v>-220734.30154772667</v>
      </c>
      <c r="K40" s="401">
        <f t="shared" si="2"/>
        <v>-0.85179783177623047</v>
      </c>
      <c r="L40" s="378">
        <f>SUM($E$26:E40)*C40-SUM($F$26:F40)</f>
        <v>0</v>
      </c>
      <c r="M40" s="427">
        <f t="shared" si="9"/>
        <v>21.163403791728349</v>
      </c>
      <c r="N40" s="446"/>
      <c r="O40" s="446"/>
      <c r="P40" s="379">
        <f>SUM($E40:E$55)*170/35/$B$1</f>
        <v>64998.925452031843</v>
      </c>
      <c r="Q40" s="402">
        <f t="shared" si="7"/>
        <v>0.6071428571428571</v>
      </c>
      <c r="R40" s="434">
        <f t="shared" si="10"/>
        <v>-91190.966205830351</v>
      </c>
      <c r="S40" s="391"/>
    </row>
    <row r="41" spans="2:20" x14ac:dyDescent="0.25">
      <c r="B41" s="376">
        <f t="shared" si="6"/>
        <v>9</v>
      </c>
      <c r="C41" s="399">
        <f t="shared" si="8"/>
        <v>8.0831668051283199</v>
      </c>
      <c r="D41" s="400">
        <f>SUM($E41:E$55)</f>
        <v>14900</v>
      </c>
      <c r="E41" s="377">
        <v>0</v>
      </c>
      <c r="F41" s="418">
        <f t="shared" si="1"/>
        <v>0</v>
      </c>
      <c r="G41" s="379">
        <f>SUM($E41:E$55)*C41</f>
        <v>120439.18539641197</v>
      </c>
      <c r="H41" s="378"/>
      <c r="I41" s="378">
        <f>-(-SUM($F41:F$55)-SUM($H41:H$55))</f>
        <v>-198248.01989152987</v>
      </c>
      <c r="J41" s="408">
        <f t="shared" si="5"/>
        <v>-220734.30154772667</v>
      </c>
      <c r="K41" s="401">
        <f t="shared" si="2"/>
        <v>-0.64604251713442695</v>
      </c>
      <c r="L41" s="378">
        <f>SUM($E$26:E41)*C41-SUM($F$26:F41)</f>
        <v>0</v>
      </c>
      <c r="M41" s="427">
        <f t="shared" si="9"/>
        <v>21.163403791728349</v>
      </c>
      <c r="N41" s="446"/>
      <c r="O41" s="446"/>
      <c r="P41" s="379">
        <f>SUM($E41:E$55)*170/35/$B$1</f>
        <v>64998.925452031843</v>
      </c>
      <c r="Q41" s="402">
        <f t="shared" si="7"/>
        <v>0.53968253968253954</v>
      </c>
      <c r="R41" s="434">
        <f t="shared" si="10"/>
        <v>-77808.834495117902</v>
      </c>
      <c r="S41" s="391"/>
    </row>
    <row r="42" spans="2:20" x14ac:dyDescent="0.25">
      <c r="B42" s="376">
        <f t="shared" si="6"/>
        <v>10</v>
      </c>
      <c r="C42" s="399">
        <f t="shared" si="8"/>
        <v>8.9812964501425778</v>
      </c>
      <c r="D42" s="400">
        <f>SUM($E42:E$55)</f>
        <v>14900</v>
      </c>
      <c r="E42" s="377">
        <v>0</v>
      </c>
      <c r="F42" s="418">
        <f t="shared" si="1"/>
        <v>0</v>
      </c>
      <c r="G42" s="379">
        <f>SUM($E42:E$55)*C42</f>
        <v>133821.3171071244</v>
      </c>
      <c r="H42" s="378"/>
      <c r="I42" s="378">
        <f>-(-SUM($F42:F$55)-SUM($H42:H$55))</f>
        <v>-198248.01989152987</v>
      </c>
      <c r="J42" s="408">
        <f t="shared" si="5"/>
        <v>-220734.30154772667</v>
      </c>
      <c r="K42" s="401">
        <f t="shared" si="2"/>
        <v>-0.48143826542098433</v>
      </c>
      <c r="L42" s="378">
        <f>SUM($E$26:E42)*C42-SUM($F$26:F42)</f>
        <v>0</v>
      </c>
      <c r="M42" s="427">
        <f t="shared" si="9"/>
        <v>21.163403791728349</v>
      </c>
      <c r="N42" s="446"/>
      <c r="O42" s="446"/>
      <c r="P42" s="379">
        <f>SUM($E42:E$55)*170/35/$B$1</f>
        <v>64998.925452031843</v>
      </c>
      <c r="Q42" s="402">
        <f t="shared" si="7"/>
        <v>0.48571428571428565</v>
      </c>
      <c r="R42" s="434">
        <f t="shared" si="10"/>
        <v>-64426.702784405468</v>
      </c>
      <c r="S42" s="391"/>
    </row>
    <row r="43" spans="2:20" x14ac:dyDescent="0.25">
      <c r="B43" s="376">
        <f t="shared" si="6"/>
        <v>11</v>
      </c>
      <c r="C43" s="399">
        <f t="shared" si="8"/>
        <v>9.8794260951568358</v>
      </c>
      <c r="D43" s="400">
        <f>SUM($E43:E$55)</f>
        <v>14900</v>
      </c>
      <c r="E43" s="377">
        <v>0</v>
      </c>
      <c r="F43" s="418">
        <f t="shared" si="1"/>
        <v>0</v>
      </c>
      <c r="G43" s="379">
        <f>SUM($E43:E$55)*C43</f>
        <v>147203.44881783685</v>
      </c>
      <c r="H43" s="378"/>
      <c r="I43" s="378">
        <f>-(-SUM($F43:F$55)-SUM($H43:H$55))</f>
        <v>-198248.01989152987</v>
      </c>
      <c r="J43" s="408">
        <f t="shared" si="5"/>
        <v>-220734.30154772667</v>
      </c>
      <c r="K43" s="401">
        <f t="shared" si="2"/>
        <v>-0.34676205947362204</v>
      </c>
      <c r="L43" s="378">
        <f>SUM($E$26:E43)*C43-SUM($F$26:F43)</f>
        <v>0</v>
      </c>
      <c r="M43" s="427">
        <f t="shared" si="9"/>
        <v>21.163403791728349</v>
      </c>
      <c r="N43" s="446"/>
      <c r="O43" s="446"/>
      <c r="P43" s="379">
        <f>SUM($E43:E$55)*170/35/$B$1</f>
        <v>64998.925452031843</v>
      </c>
      <c r="Q43" s="402">
        <f t="shared" si="7"/>
        <v>0.44155844155844148</v>
      </c>
      <c r="R43" s="434">
        <f t="shared" si="10"/>
        <v>-51044.57107369302</v>
      </c>
      <c r="S43" s="391"/>
    </row>
    <row r="44" spans="2:20" x14ac:dyDescent="0.25">
      <c r="B44" s="376">
        <f t="shared" si="6"/>
        <v>12</v>
      </c>
      <c r="C44" s="399">
        <f t="shared" si="8"/>
        <v>10.777555740171092</v>
      </c>
      <c r="D44" s="400">
        <f>SUM($E44:E$55)</f>
        <v>14900</v>
      </c>
      <c r="E44" s="377">
        <v>0</v>
      </c>
      <c r="F44" s="418">
        <f t="shared" si="1"/>
        <v>0</v>
      </c>
      <c r="G44" s="379">
        <f>SUM($E44:E$55)*C44</f>
        <v>160585.58052854927</v>
      </c>
      <c r="H44" s="378"/>
      <c r="I44" s="378">
        <f>-(-SUM($F44:F$55)-SUM($H44:H$55))</f>
        <v>-198248.01989152987</v>
      </c>
      <c r="J44" s="408">
        <f t="shared" si="5"/>
        <v>-220734.30154772667</v>
      </c>
      <c r="K44" s="401">
        <f t="shared" si="2"/>
        <v>-0.23453188785082038</v>
      </c>
      <c r="L44" s="378">
        <f>SUM($E$26:E44)*C44-SUM($F$26:F44)</f>
        <v>0</v>
      </c>
      <c r="M44" s="427">
        <f t="shared" si="9"/>
        <v>21.163403791728349</v>
      </c>
      <c r="N44" s="446"/>
      <c r="O44" s="446"/>
      <c r="P44" s="379">
        <f>SUM($E44:E$55)*170/35/$B$1</f>
        <v>64998.925452031843</v>
      </c>
      <c r="Q44" s="402">
        <f t="shared" si="7"/>
        <v>0.40476190476190471</v>
      </c>
      <c r="R44" s="434">
        <f t="shared" si="10"/>
        <v>-37662.4393629806</v>
      </c>
      <c r="S44" s="391"/>
    </row>
    <row r="45" spans="2:20" x14ac:dyDescent="0.25">
      <c r="B45" s="376">
        <f t="shared" si="6"/>
        <v>13</v>
      </c>
      <c r="C45" s="399">
        <f t="shared" si="8"/>
        <v>11.67568538518535</v>
      </c>
      <c r="D45" s="400">
        <f>SUM($E45:E$55)</f>
        <v>14900</v>
      </c>
      <c r="E45" s="377">
        <v>0</v>
      </c>
      <c r="F45" s="418">
        <f t="shared" si="1"/>
        <v>0</v>
      </c>
      <c r="G45" s="379">
        <f>SUM($E45:E$55)*C45</f>
        <v>173967.71223926172</v>
      </c>
      <c r="H45" s="378"/>
      <c r="I45" s="378">
        <f>-(-SUM($F45:F$55)-SUM($H45:H$55))</f>
        <v>-198248.01989152987</v>
      </c>
      <c r="J45" s="408">
        <f t="shared" si="5"/>
        <v>-220734.30154772667</v>
      </c>
      <c r="K45" s="401">
        <f t="shared" si="2"/>
        <v>-0.13956789647768028</v>
      </c>
      <c r="L45" s="378">
        <f>SUM($E$26:E45)*C45-SUM($F$26:F45)</f>
        <v>0</v>
      </c>
      <c r="M45" s="427">
        <f t="shared" si="9"/>
        <v>21.163403791728349</v>
      </c>
      <c r="N45" s="446"/>
      <c r="O45" s="446"/>
      <c r="P45" s="379">
        <f>SUM($E45:E$55)*170/35/$B$1</f>
        <v>64998.925452031843</v>
      </c>
      <c r="Q45" s="402">
        <f t="shared" si="7"/>
        <v>0.37362637362637358</v>
      </c>
      <c r="R45" s="434">
        <f t="shared" si="10"/>
        <v>-24280.307652268151</v>
      </c>
      <c r="S45" s="391"/>
    </row>
    <row r="46" spans="2:20" x14ac:dyDescent="0.25">
      <c r="B46" s="376">
        <f t="shared" si="6"/>
        <v>14</v>
      </c>
      <c r="C46" s="399">
        <f t="shared" si="8"/>
        <v>12.573815030199608</v>
      </c>
      <c r="D46" s="400">
        <f>SUM($E46:E$55)</f>
        <v>14900</v>
      </c>
      <c r="E46" s="377">
        <v>0</v>
      </c>
      <c r="F46" s="418">
        <f t="shared" si="1"/>
        <v>0</v>
      </c>
      <c r="G46" s="379">
        <f>SUM($E46:E$55)*C46</f>
        <v>187349.84394997417</v>
      </c>
      <c r="H46" s="378"/>
      <c r="I46" s="378">
        <f>-(-SUM($F46:F$55)-SUM($H46:H$55))</f>
        <v>-198248.01989152987</v>
      </c>
      <c r="J46" s="408">
        <f t="shared" si="5"/>
        <v>-220734.30154772667</v>
      </c>
      <c r="K46" s="401">
        <f t="shared" si="2"/>
        <v>-5.8170189586417349E-2</v>
      </c>
      <c r="L46" s="378">
        <f>SUM($E$26:E46)*C46-SUM($F$26:F46)</f>
        <v>0</v>
      </c>
      <c r="M46" s="427">
        <f t="shared" si="9"/>
        <v>21.163403791728349</v>
      </c>
      <c r="N46" s="446"/>
      <c r="O46" s="446"/>
      <c r="P46" s="379">
        <f>SUM($E46:E$55)*170/35/$B$1</f>
        <v>64998.925452031843</v>
      </c>
      <c r="Q46" s="402">
        <f t="shared" si="7"/>
        <v>0.34693877551020402</v>
      </c>
      <c r="R46" s="434">
        <f t="shared" si="10"/>
        <v>-10898.175941555703</v>
      </c>
      <c r="S46" s="391"/>
      <c r="T46" s="375">
        <v>0</v>
      </c>
    </row>
    <row r="47" spans="2:20" x14ac:dyDescent="0.25">
      <c r="B47" s="376">
        <f t="shared" si="6"/>
        <v>15</v>
      </c>
      <c r="C47" s="399">
        <f t="shared" si="8"/>
        <v>13.471944675213866</v>
      </c>
      <c r="D47" s="400">
        <f>SUM($E47:E$55)</f>
        <v>14900</v>
      </c>
      <c r="E47" s="377">
        <v>0</v>
      </c>
      <c r="F47" s="418">
        <f t="shared" si="1"/>
        <v>0</v>
      </c>
      <c r="G47" s="379">
        <f>SUM($E47:E$55)*C47</f>
        <v>200731.97566068661</v>
      </c>
      <c r="H47" s="378"/>
      <c r="I47" s="378">
        <f>-(-SUM($F47:F$55)-SUM($H47:H$55))</f>
        <v>-198248.01989152987</v>
      </c>
      <c r="J47" s="408">
        <f t="shared" si="5"/>
        <v>-220734.30154772667</v>
      </c>
      <c r="K47" s="401">
        <f t="shared" si="2"/>
        <v>1.2374489719343849E-2</v>
      </c>
      <c r="L47" s="378">
        <f>SUM($E$26:E47)*C47-SUM($F$26:F47)</f>
        <v>0</v>
      </c>
      <c r="M47" s="427">
        <f t="shared" si="9"/>
        <v>21.163403791728349</v>
      </c>
      <c r="N47" s="446"/>
      <c r="O47" s="446"/>
      <c r="P47" s="379">
        <f>SUM($E47:E$55)*170/35/$B$1</f>
        <v>64998.925452031843</v>
      </c>
      <c r="Q47" s="402">
        <f t="shared" si="7"/>
        <v>0.32380952380952377</v>
      </c>
      <c r="R47" s="434">
        <f t="shared" si="10"/>
        <v>2483.9557691567461</v>
      </c>
      <c r="S47" s="391"/>
    </row>
    <row r="48" spans="2:20" x14ac:dyDescent="0.25">
      <c r="B48" s="376">
        <f t="shared" si="6"/>
        <v>16</v>
      </c>
      <c r="C48" s="399">
        <f t="shared" si="8"/>
        <v>14.370074320228124</v>
      </c>
      <c r="D48" s="400">
        <f>SUM($E48:E$55)</f>
        <v>14900</v>
      </c>
      <c r="E48" s="377">
        <v>0</v>
      </c>
      <c r="F48" s="418">
        <f t="shared" si="1"/>
        <v>0</v>
      </c>
      <c r="G48" s="379">
        <f>SUM($E48:E$55)*C48</f>
        <v>214114.10737139903</v>
      </c>
      <c r="H48" s="378"/>
      <c r="I48" s="378">
        <f>-(-SUM($F48:F$55)-SUM($H48:H$55))</f>
        <v>-198248.01989152987</v>
      </c>
      <c r="J48" s="408">
        <f t="shared" si="5"/>
        <v>-220734.30154772667</v>
      </c>
      <c r="K48" s="401">
        <f t="shared" si="2"/>
        <v>7.4101084111884763E-2</v>
      </c>
      <c r="L48" s="378">
        <f>SUM($E$26:E48)*C48-SUM($F$26:F48)</f>
        <v>0</v>
      </c>
      <c r="M48" s="427">
        <f t="shared" si="9"/>
        <v>21.163403791728349</v>
      </c>
      <c r="N48" s="446"/>
      <c r="O48" s="446"/>
      <c r="P48" s="379">
        <f>SUM($E48:E$55)*170/35/$B$1</f>
        <v>64998.925452031843</v>
      </c>
      <c r="Q48" s="402">
        <f t="shared" si="7"/>
        <v>0.30357142857142855</v>
      </c>
      <c r="R48" s="434">
        <f t="shared" si="10"/>
        <v>15866.087479869166</v>
      </c>
      <c r="S48" s="391"/>
    </row>
    <row r="49" spans="2:27" x14ac:dyDescent="0.25">
      <c r="B49" s="376">
        <f t="shared" si="6"/>
        <v>17</v>
      </c>
      <c r="C49" s="399">
        <f t="shared" si="8"/>
        <v>15.268203965242382</v>
      </c>
      <c r="D49" s="400">
        <f>SUM($E49:E$55)</f>
        <v>14900</v>
      </c>
      <c r="E49" s="377">
        <v>-2000</v>
      </c>
      <c r="F49" s="418">
        <f>-E49*C49</f>
        <v>30536.407930484762</v>
      </c>
      <c r="G49" s="379">
        <f>SUM($E49:E$55)*C49</f>
        <v>227496.23908211148</v>
      </c>
      <c r="H49" s="378"/>
      <c r="I49" s="378">
        <f>-(-SUM($F49:F$55)-SUM($H49:H$55))</f>
        <v>-198248.01989152987</v>
      </c>
      <c r="J49" s="408">
        <f t="shared" si="5"/>
        <v>-220734.30154772667</v>
      </c>
      <c r="K49" s="401">
        <f t="shared" si="2"/>
        <v>0.1285657262229504</v>
      </c>
      <c r="L49" s="378">
        <f>SUM($E$26:E49)*C49-SUM($F$26:F49)</f>
        <v>-61072.815860969524</v>
      </c>
      <c r="M49" s="427">
        <f t="shared" si="9"/>
        <v>21.163403791728349</v>
      </c>
      <c r="N49" s="446"/>
      <c r="O49" s="446"/>
      <c r="P49" s="379">
        <f>SUM($E49:E$55)*170/35/$B$1</f>
        <v>64998.925452031843</v>
      </c>
      <c r="Q49" s="402">
        <f t="shared" si="7"/>
        <v>0.2857142857142857</v>
      </c>
      <c r="R49" s="434">
        <f t="shared" si="10"/>
        <v>29248.219190581614</v>
      </c>
      <c r="S49" s="391"/>
    </row>
    <row r="50" spans="2:27" x14ac:dyDescent="0.25">
      <c r="B50" s="376">
        <f t="shared" si="6"/>
        <v>18</v>
      </c>
      <c r="C50" s="399">
        <f t="shared" si="8"/>
        <v>16.16633361025664</v>
      </c>
      <c r="D50" s="400">
        <f>SUM($E50:E$55)</f>
        <v>16900</v>
      </c>
      <c r="E50" s="377">
        <v>-2000</v>
      </c>
      <c r="F50" s="418">
        <f t="shared" ref="F50:F107" si="11">-E50*C50</f>
        <v>32332.667220513278</v>
      </c>
      <c r="G50" s="379">
        <f>SUM($E50:E$55)*C50</f>
        <v>273211.03801333724</v>
      </c>
      <c r="H50" s="378"/>
      <c r="I50" s="378">
        <f>-(-SUM($F50:F$55)-SUM($H50:H$55))</f>
        <v>-228784.42782201467</v>
      </c>
      <c r="J50" s="408">
        <f t="shared" si="5"/>
        <v>-254734.3015477267</v>
      </c>
      <c r="K50" s="401">
        <f t="shared" si="2"/>
        <v>0.16260913363666446</v>
      </c>
      <c r="L50" s="378">
        <f>SUM($E$26:E50)*C50-SUM($F$26:F50)</f>
        <v>-127534.4095920246</v>
      </c>
      <c r="M50" s="427">
        <f t="shared" si="9"/>
        <v>21.532907992200059</v>
      </c>
      <c r="N50" s="446"/>
      <c r="O50" s="446"/>
      <c r="P50" s="379">
        <f>SUM($E50:E$55)*170/35/$B$1</f>
        <v>73723.613432170358</v>
      </c>
      <c r="Q50" s="402">
        <f t="shared" si="7"/>
        <v>0.26984126984126983</v>
      </c>
      <c r="R50" s="434">
        <f t="shared" si="10"/>
        <v>44426.610191322572</v>
      </c>
      <c r="S50" s="391"/>
    </row>
    <row r="51" spans="2:27" x14ac:dyDescent="0.25">
      <c r="B51" s="376">
        <f t="shared" si="6"/>
        <v>19</v>
      </c>
      <c r="C51" s="399">
        <f t="shared" si="8"/>
        <v>17.064463255270898</v>
      </c>
      <c r="D51" s="400">
        <f>SUM($E51:E$55)</f>
        <v>18900</v>
      </c>
      <c r="E51" s="377">
        <v>-2000</v>
      </c>
      <c r="F51" s="418">
        <f t="shared" si="11"/>
        <v>34128.926510541794</v>
      </c>
      <c r="G51" s="379">
        <f>SUM($E51:E$55)*C51</f>
        <v>322518.35552461998</v>
      </c>
      <c r="H51" s="378"/>
      <c r="I51" s="378">
        <f>-(-SUM($F51:F$55)-SUM($H51:H$55))</f>
        <v>-261117.09504252794</v>
      </c>
      <c r="J51" s="408">
        <f t="shared" si="5"/>
        <v>-290734.30154772673</v>
      </c>
      <c r="K51" s="401">
        <f t="shared" si="2"/>
        <v>0.19038066959697389</v>
      </c>
      <c r="L51" s="378">
        <f>SUM($E$26:E51)*C51-SUM($F$26:F51)</f>
        <v>-199384.78119316522</v>
      </c>
      <c r="M51" s="427">
        <f t="shared" si="9"/>
        <v>21.975381825224996</v>
      </c>
      <c r="N51" s="446"/>
      <c r="O51" s="446"/>
      <c r="P51" s="379">
        <f>SUM($E51:E$55)*170/35/$B$1</f>
        <v>82448.301412308865</v>
      </c>
      <c r="Q51" s="402">
        <f t="shared" si="7"/>
        <v>0.25563909774436089</v>
      </c>
      <c r="R51" s="434">
        <f t="shared" si="10"/>
        <v>61401.260482092039</v>
      </c>
      <c r="S51" s="391"/>
    </row>
    <row r="52" spans="2:27" x14ac:dyDescent="0.25">
      <c r="B52" s="376">
        <f t="shared" si="6"/>
        <v>20</v>
      </c>
      <c r="C52" s="399">
        <f t="shared" si="8"/>
        <v>17.962592900285156</v>
      </c>
      <c r="D52" s="400">
        <f>SUM($E52:E$55)</f>
        <v>20900</v>
      </c>
      <c r="E52" s="377">
        <v>-2000</v>
      </c>
      <c r="F52" s="418">
        <f t="shared" si="11"/>
        <v>35925.185800570311</v>
      </c>
      <c r="G52" s="379">
        <f>SUM($E52:E$55)*C52</f>
        <v>375418.19161595975</v>
      </c>
      <c r="H52" s="378"/>
      <c r="I52" s="378">
        <f>-(-SUM($F52:F$55)-SUM($H52:H$55))</f>
        <v>-295246.02155306976</v>
      </c>
      <c r="J52" s="408">
        <f t="shared" si="5"/>
        <v>-328734.30154772673</v>
      </c>
      <c r="K52" s="401">
        <f t="shared" si="2"/>
        <v>0.21355430251740021</v>
      </c>
      <c r="L52" s="378">
        <f>SUM($E$26:E52)*C52-SUM($F$26:F52)</f>
        <v>-276623.93066439137</v>
      </c>
      <c r="M52" s="427">
        <f t="shared" si="9"/>
        <v>22.469877070931421</v>
      </c>
      <c r="N52" s="446"/>
      <c r="O52" s="446"/>
      <c r="P52" s="379">
        <f>SUM($E52:E$55)*170/35/$B$1</f>
        <v>91172.989392447358</v>
      </c>
      <c r="Q52" s="402">
        <f t="shared" si="7"/>
        <v>0.24285714285714283</v>
      </c>
      <c r="R52" s="434">
        <f t="shared" si="10"/>
        <v>80172.170062889985</v>
      </c>
      <c r="S52" s="391"/>
      <c r="T52" s="375">
        <v>8.48</v>
      </c>
    </row>
    <row r="53" spans="2:27" x14ac:dyDescent="0.25">
      <c r="B53" s="376">
        <f t="shared" si="6"/>
        <v>21</v>
      </c>
      <c r="C53" s="399">
        <f t="shared" si="8"/>
        <v>18.860722545299414</v>
      </c>
      <c r="D53" s="400">
        <f>SUM($E53:E$55)</f>
        <v>22900</v>
      </c>
      <c r="E53" s="377">
        <v>-2000</v>
      </c>
      <c r="F53" s="418">
        <f t="shared" si="11"/>
        <v>37721.445090598827</v>
      </c>
      <c r="G53" s="379">
        <f>SUM($E53:E$55)*C53</f>
        <v>431910.54628735658</v>
      </c>
      <c r="H53" s="378"/>
      <c r="I53" s="378">
        <f>-(-SUM($F53:F$55)-SUM($H53:H$55))</f>
        <v>-331171.20735364006</v>
      </c>
      <c r="J53" s="408">
        <f t="shared" si="5"/>
        <v>-368734.30154772673</v>
      </c>
      <c r="K53" s="401">
        <f t="shared" si="2"/>
        <v>0.23324121117128993</v>
      </c>
      <c r="L53" s="378">
        <f>SUM($E$26:E53)*C53-SUM($F$26:F53)</f>
        <v>-359251.85800570308</v>
      </c>
      <c r="M53" s="427">
        <f t="shared" si="9"/>
        <v>23.002763664861305</v>
      </c>
      <c r="N53" s="446"/>
      <c r="O53" s="446"/>
      <c r="P53" s="379">
        <f>SUM($E53:E$55)*170/35/$B$1</f>
        <v>99897.677372585866</v>
      </c>
      <c r="Q53" s="402">
        <f t="shared" si="7"/>
        <v>0.2312925170068027</v>
      </c>
      <c r="R53" s="434">
        <f t="shared" si="10"/>
        <v>100739.33893371653</v>
      </c>
      <c r="S53" s="391"/>
      <c r="V53" s="387" t="s">
        <v>190</v>
      </c>
      <c r="W53" s="443" t="s">
        <v>207</v>
      </c>
      <c r="X53" s="443" t="s">
        <v>208</v>
      </c>
      <c r="Y53" s="387"/>
      <c r="Z53" s="387"/>
    </row>
    <row r="54" spans="2:27" x14ac:dyDescent="0.25">
      <c r="B54" s="376">
        <f t="shared" si="6"/>
        <v>22</v>
      </c>
      <c r="C54" s="399">
        <f t="shared" si="8"/>
        <v>19.758852190313672</v>
      </c>
      <c r="D54" s="400">
        <f>SUM($E54:E$55)</f>
        <v>24900</v>
      </c>
      <c r="E54" s="377">
        <v>-2000</v>
      </c>
      <c r="F54" s="418">
        <f t="shared" si="11"/>
        <v>39517.704380627343</v>
      </c>
      <c r="G54" s="379">
        <f>SUM($E54:E$55)*C54</f>
        <v>491995.41953881044</v>
      </c>
      <c r="H54" s="378"/>
      <c r="I54" s="378">
        <f>-(-SUM($F54:F$55)-SUM($H54:H$55))</f>
        <v>-368892.65244423883</v>
      </c>
      <c r="J54" s="408">
        <f t="shared" si="5"/>
        <v>-410734.30154772667</v>
      </c>
      <c r="K54" s="401">
        <f t="shared" si="2"/>
        <v>0.25021120564489485</v>
      </c>
      <c r="L54" s="378">
        <f>SUM($E$26:E54)*C54-SUM($F$26:F54)</f>
        <v>-447268.56321710034</v>
      </c>
      <c r="M54" s="427">
        <f t="shared" si="9"/>
        <v>23.564790679731882</v>
      </c>
      <c r="N54" s="446"/>
      <c r="O54" s="446"/>
      <c r="P54" s="379">
        <f>SUM($E54:E$55)*170/35/$B$1</f>
        <v>108622.36535272437</v>
      </c>
      <c r="Q54" s="402">
        <f t="shared" ref="Q54:Q85" si="12">P54/G54</f>
        <v>0.22077922077922077</v>
      </c>
      <c r="R54" s="434">
        <f t="shared" si="10"/>
        <v>123102.76709457161</v>
      </c>
      <c r="S54" s="438">
        <f t="shared" ref="S54:S72" si="13">(R54+W54)*Q54</f>
        <v>37965.419952167569</v>
      </c>
      <c r="T54" s="375">
        <v>6400</v>
      </c>
      <c r="U54" s="375">
        <v>8.5</v>
      </c>
      <c r="V54" s="393">
        <f t="shared" ref="V54:V72" si="14">B54</f>
        <v>22</v>
      </c>
      <c r="W54" s="388">
        <f>U54*T54/$B$1</f>
        <v>48858.252688775618</v>
      </c>
      <c r="X54" s="388">
        <f t="shared" ref="X54:X72" si="15">W54+G54</f>
        <v>540853.67222758604</v>
      </c>
      <c r="Y54" s="442" t="s">
        <v>206</v>
      </c>
      <c r="Z54" s="448" t="s">
        <v>211</v>
      </c>
      <c r="AA54" s="443" t="s">
        <v>212</v>
      </c>
    </row>
    <row r="55" spans="2:27" s="398" customFormat="1" x14ac:dyDescent="0.25">
      <c r="B55" s="419">
        <f t="shared" si="6"/>
        <v>23</v>
      </c>
      <c r="C55" s="403">
        <f t="shared" si="8"/>
        <v>20.656981835327926</v>
      </c>
      <c r="D55" s="404">
        <f>SUM($E$55:E55)</f>
        <v>26900</v>
      </c>
      <c r="E55" s="396">
        <f>K1</f>
        <v>26900</v>
      </c>
      <c r="F55" s="420">
        <f t="shared" si="11"/>
        <v>-555672.8113703212</v>
      </c>
      <c r="G55" s="428">
        <f>SUM($E55:E$55)*C55</f>
        <v>555672.8113703212</v>
      </c>
      <c r="H55" s="397">
        <f>147262.454545455+(T54-6400)*8.5</f>
        <v>147262.454545455</v>
      </c>
      <c r="I55" s="397">
        <f>-(-SUM($F$55:F55)-SUM($H$55:H55))</f>
        <v>-408410.3568248662</v>
      </c>
      <c r="J55" s="453">
        <f t="shared" si="5"/>
        <v>-454734.30154772667</v>
      </c>
      <c r="K55" s="451">
        <f>(G55+I55)/G55</f>
        <v>0.26501648367912278</v>
      </c>
      <c r="L55" s="397">
        <f>SUM($E$26:E55)*C55-SUM($F$26:F55)</f>
        <v>653299.50378337095</v>
      </c>
      <c r="M55" s="429">
        <f>J55/($Q$1*D55-D55)</f>
        <v>24.149458393400248</v>
      </c>
      <c r="N55" s="452"/>
      <c r="O55" s="452">
        <f t="shared" ref="O55:O72" si="16">I55/X55</f>
        <v>-0.67119454102985499</v>
      </c>
      <c r="P55" s="428">
        <f>SUM($E55:E$55)*170/35/$B$1</f>
        <v>117347.05333286287</v>
      </c>
      <c r="Q55" s="405">
        <f t="shared" si="12"/>
        <v>0.21118012422360249</v>
      </c>
      <c r="R55" s="435">
        <f t="shared" si="10"/>
        <v>147262.454545455</v>
      </c>
      <c r="S55" s="439">
        <f t="shared" si="13"/>
        <v>42251.330688558846</v>
      </c>
      <c r="T55" s="440">
        <f>T54-H56/T52</f>
        <v>6400</v>
      </c>
      <c r="V55" s="440">
        <f t="shared" si="14"/>
        <v>23</v>
      </c>
      <c r="W55" s="441">
        <f t="shared" ref="W55:W61" si="17">($W$62-$W$54)/(33-25)+W54</f>
        <v>52810.02312683835</v>
      </c>
      <c r="X55" s="388">
        <f t="shared" si="15"/>
        <v>608482.83449715958</v>
      </c>
      <c r="Y55" s="440">
        <f t="shared" ref="Y55:Y74" si="18">(I55+W55)/($Q$1*D55-D55)*$B$1</f>
        <v>21.026781813474603</v>
      </c>
      <c r="Z55" s="450">
        <f t="shared" ref="Z55:Z74" si="19">B55-Y55</f>
        <v>1.973218186525397</v>
      </c>
      <c r="AA55" s="449">
        <f t="shared" ref="AA55:AA74" si="20">1-Y55/B55</f>
        <v>8.5792095066321572E-2</v>
      </c>
    </row>
    <row r="56" spans="2:27" x14ac:dyDescent="0.25">
      <c r="B56" s="376">
        <f t="shared" si="6"/>
        <v>24</v>
      </c>
      <c r="C56" s="399">
        <f t="shared" si="8"/>
        <v>21.555111480342184</v>
      </c>
      <c r="D56" s="400">
        <f>SUM($E$55:E56)</f>
        <v>26900</v>
      </c>
      <c r="E56" s="454">
        <v>0</v>
      </c>
      <c r="F56" s="418">
        <f t="shared" si="11"/>
        <v>0</v>
      </c>
      <c r="G56" s="379">
        <f>SUM($E$55:E56)*C56</f>
        <v>579832.49882120476</v>
      </c>
      <c r="H56" s="378">
        <f>E56*T52</f>
        <v>0</v>
      </c>
      <c r="I56" s="378">
        <f>-(-SUM($F$55:F56)-SUM($H$55:H56))</f>
        <v>-408410.3568248662</v>
      </c>
      <c r="J56" s="408">
        <f t="shared" si="5"/>
        <v>-454734.30154772667</v>
      </c>
      <c r="K56" s="401">
        <f t="shared" ref="K56:K107" si="21">(G56+I56)/G56</f>
        <v>0.29564079685915934</v>
      </c>
      <c r="L56" s="378">
        <f>SUM($E$26:E56)*C56-SUM($F$26:F56)</f>
        <v>666681.6354940834</v>
      </c>
      <c r="M56" s="427">
        <f t="shared" ref="M56:M87" si="22">I56/($Q$1*D56-D56)*$B$1</f>
        <v>24.149458393400252</v>
      </c>
      <c r="N56" s="446">
        <f t="shared" ref="N56:N71" si="23">R56-G56*0.3</f>
        <v>-2527.6076500228664</v>
      </c>
      <c r="O56" s="446">
        <f t="shared" si="16"/>
        <v>-0.64155516584047223</v>
      </c>
      <c r="P56" s="379">
        <f>SUM($E$55:E56)*170/35/$B$1</f>
        <v>117347.05333286287</v>
      </c>
      <c r="Q56" s="402">
        <f t="shared" si="12"/>
        <v>0.20238095238095238</v>
      </c>
      <c r="R56" s="434">
        <f t="shared" si="10"/>
        <v>171422.14199633856</v>
      </c>
      <c r="S56" s="438">
        <f t="shared" si="13"/>
        <v>46180.082196917545</v>
      </c>
      <c r="T56" s="375">
        <f t="shared" ref="T56:T72" si="24">T55</f>
        <v>6400</v>
      </c>
      <c r="V56" s="393">
        <f t="shared" si="14"/>
        <v>24</v>
      </c>
      <c r="W56" s="388">
        <f t="shared" si="17"/>
        <v>56761.793564901083</v>
      </c>
      <c r="X56" s="388">
        <f t="shared" si="15"/>
        <v>636594.29238610587</v>
      </c>
      <c r="Y56" s="440">
        <f t="shared" si="18"/>
        <v>20.793112137425741</v>
      </c>
      <c r="Z56" s="450">
        <f t="shared" si="19"/>
        <v>3.2068878625742592</v>
      </c>
      <c r="AA56" s="449">
        <f t="shared" si="20"/>
        <v>0.13362032760726084</v>
      </c>
    </row>
    <row r="57" spans="2:27" x14ac:dyDescent="0.25">
      <c r="B57" s="376">
        <f t="shared" si="6"/>
        <v>25</v>
      </c>
      <c r="C57" s="399">
        <f t="shared" si="8"/>
        <v>22.453241125356442</v>
      </c>
      <c r="D57" s="400">
        <f>SUM($E$55:E57)</f>
        <v>26900</v>
      </c>
      <c r="E57" s="377">
        <v>0</v>
      </c>
      <c r="F57" s="418">
        <f t="shared" si="11"/>
        <v>0</v>
      </c>
      <c r="G57" s="379">
        <f>SUM($E$55:E57)*C57</f>
        <v>603992.18627208832</v>
      </c>
      <c r="H57" s="378"/>
      <c r="I57" s="378">
        <f>-(-SUM($F$55:F57)-SUM($H$55:H57))</f>
        <v>-408410.3568248662</v>
      </c>
      <c r="J57" s="408">
        <f t="shared" si="5"/>
        <v>-454734.30154772667</v>
      </c>
      <c r="K57" s="401">
        <f t="shared" si="21"/>
        <v>0.32381516498479301</v>
      </c>
      <c r="L57" s="378">
        <f>SUM($E$26:E57)*C57-SUM($F$26:F57)</f>
        <v>680063.76720479585</v>
      </c>
      <c r="M57" s="427">
        <f t="shared" si="22"/>
        <v>24.149458393400252</v>
      </c>
      <c r="N57" s="446">
        <f t="shared" si="23"/>
        <v>14384.173565595614</v>
      </c>
      <c r="O57" s="446">
        <f t="shared" si="16"/>
        <v>-0.61442278279655005</v>
      </c>
      <c r="P57" s="379">
        <f>SUM($E$55:E57)*170/35/$B$1</f>
        <v>117347.05333286287</v>
      </c>
      <c r="Q57" s="402">
        <f t="shared" si="12"/>
        <v>0.19428571428571428</v>
      </c>
      <c r="R57" s="434">
        <f t="shared" si="10"/>
        <v>195581.82944722212</v>
      </c>
      <c r="S57" s="438">
        <f t="shared" si="13"/>
        <v>49794.533584607554</v>
      </c>
      <c r="T57" s="375">
        <f t="shared" si="24"/>
        <v>6400</v>
      </c>
      <c r="V57" s="393">
        <f t="shared" si="14"/>
        <v>25</v>
      </c>
      <c r="W57" s="388">
        <f t="shared" si="17"/>
        <v>60713.564002963816</v>
      </c>
      <c r="X57" s="388">
        <f t="shared" si="15"/>
        <v>664705.75027505215</v>
      </c>
      <c r="Y57" s="440">
        <f t="shared" si="18"/>
        <v>20.559442461376882</v>
      </c>
      <c r="Z57" s="450">
        <f t="shared" si="19"/>
        <v>4.4405575386231178</v>
      </c>
      <c r="AA57" s="449">
        <f t="shared" si="20"/>
        <v>0.17762230154492475</v>
      </c>
    </row>
    <row r="58" spans="2:27" x14ac:dyDescent="0.25">
      <c r="B58" s="376">
        <f t="shared" si="6"/>
        <v>26</v>
      </c>
      <c r="C58" s="399">
        <f t="shared" si="8"/>
        <v>23.3513707703707</v>
      </c>
      <c r="D58" s="400">
        <f>SUM($E$55:E58)</f>
        <v>29000</v>
      </c>
      <c r="E58" s="377">
        <v>2100</v>
      </c>
      <c r="F58" s="418">
        <f t="shared" si="11"/>
        <v>-49037.878617778471</v>
      </c>
      <c r="G58" s="379">
        <f>SUM($E$55:E58)*C58</f>
        <v>677189.7523407503</v>
      </c>
      <c r="H58" s="378"/>
      <c r="I58" s="378">
        <f>-(-SUM($F$55:F58)-SUM($H$55:H58))</f>
        <v>-457448.23544264463</v>
      </c>
      <c r="J58" s="408">
        <f t="shared" si="5"/>
        <v>-509334.30154772662</v>
      </c>
      <c r="K58" s="401">
        <f t="shared" si="21"/>
        <v>0.32449031624969937</v>
      </c>
      <c r="L58" s="378">
        <f>SUM($E$26:E58)*C58-SUM($F$26:F58)</f>
        <v>791521.65615106525</v>
      </c>
      <c r="M58" s="427">
        <f t="shared" si="22"/>
        <v>25.090359682154023</v>
      </c>
      <c r="N58" s="446">
        <f t="shared" si="23"/>
        <v>16584.591195880581</v>
      </c>
      <c r="O58" s="446">
        <f t="shared" si="16"/>
        <v>-0.61662748371395482</v>
      </c>
      <c r="P58" s="379">
        <f>SUM($E$55:E58)*170/35/$B$1</f>
        <v>126507.97571200831</v>
      </c>
      <c r="Q58" s="402">
        <f t="shared" si="12"/>
        <v>0.18681318681318682</v>
      </c>
      <c r="R58" s="434">
        <f t="shared" si="10"/>
        <v>219741.51689810568</v>
      </c>
      <c r="S58" s="438">
        <f t="shared" si="13"/>
        <v>53130.95025016756</v>
      </c>
      <c r="T58" s="375">
        <f t="shared" si="24"/>
        <v>6400</v>
      </c>
      <c r="V58" s="393">
        <f t="shared" si="14"/>
        <v>26</v>
      </c>
      <c r="W58" s="388">
        <f t="shared" si="17"/>
        <v>64665.334441026549</v>
      </c>
      <c r="X58" s="388">
        <f t="shared" si="15"/>
        <v>741855.08678177686</v>
      </c>
      <c r="Y58" s="440">
        <f t="shared" si="18"/>
        <v>21.543561652597372</v>
      </c>
      <c r="Z58" s="450">
        <f t="shared" si="19"/>
        <v>4.4564383474026279</v>
      </c>
      <c r="AA58" s="449">
        <f t="shared" si="20"/>
        <v>0.17140147490010105</v>
      </c>
    </row>
    <row r="59" spans="2:27" x14ac:dyDescent="0.25">
      <c r="B59" s="376">
        <f t="shared" si="6"/>
        <v>27</v>
      </c>
      <c r="C59" s="399">
        <f t="shared" si="8"/>
        <v>24.249500415384958</v>
      </c>
      <c r="D59" s="400">
        <f>SUM($E$55:E59)</f>
        <v>31500</v>
      </c>
      <c r="E59" s="377">
        <v>2500</v>
      </c>
      <c r="F59" s="418">
        <f t="shared" si="11"/>
        <v>-60623.751038462397</v>
      </c>
      <c r="G59" s="379">
        <f>SUM($E$55:E59)*C59</f>
        <v>763859.26308462617</v>
      </c>
      <c r="H59" s="378"/>
      <c r="I59" s="378">
        <f>-(-SUM($F$55:F59)-SUM($H$55:H59))</f>
        <v>-518071.98648110701</v>
      </c>
      <c r="J59" s="408">
        <f t="shared" si="5"/>
        <v>-576834.30154772662</v>
      </c>
      <c r="K59" s="401">
        <f t="shared" si="21"/>
        <v>0.32177036855058594</v>
      </c>
      <c r="L59" s="378">
        <f>SUM($E$26:E59)*C59-SUM($F$26:F59)</f>
        <v>928037.3621932324</v>
      </c>
      <c r="M59" s="427">
        <f t="shared" si="22"/>
        <v>26.160285784477399</v>
      </c>
      <c r="N59" s="446">
        <f t="shared" si="23"/>
        <v>16629.497678131302</v>
      </c>
      <c r="O59" s="446">
        <f t="shared" si="16"/>
        <v>-0.62232635834256844</v>
      </c>
      <c r="P59" s="379">
        <f>SUM($E$55:E59)*170/35/$B$1</f>
        <v>137413.83568718142</v>
      </c>
      <c r="Q59" s="402">
        <f t="shared" si="12"/>
        <v>0.17989417989417988</v>
      </c>
      <c r="R59" s="434">
        <f t="shared" si="10"/>
        <v>245787.27660351916</v>
      </c>
      <c r="S59" s="438">
        <f t="shared" si="13"/>
        <v>56559.518361950722</v>
      </c>
      <c r="T59" s="375">
        <f t="shared" si="24"/>
        <v>6400</v>
      </c>
      <c r="V59" s="393">
        <f t="shared" si="14"/>
        <v>27</v>
      </c>
      <c r="W59" s="388">
        <f t="shared" si="17"/>
        <v>68617.104879089282</v>
      </c>
      <c r="X59" s="388">
        <f t="shared" si="15"/>
        <v>832476.36796371546</v>
      </c>
      <c r="Y59" s="440">
        <f t="shared" si="18"/>
        <v>22.695433176767647</v>
      </c>
      <c r="Z59" s="450">
        <f t="shared" si="19"/>
        <v>4.3045668232323528</v>
      </c>
      <c r="AA59" s="449">
        <f t="shared" si="20"/>
        <v>0.15942840086045751</v>
      </c>
    </row>
    <row r="60" spans="2:27" x14ac:dyDescent="0.25">
      <c r="B60" s="376">
        <f t="shared" si="6"/>
        <v>28</v>
      </c>
      <c r="C60" s="399">
        <f t="shared" si="8"/>
        <v>25.147630060399216</v>
      </c>
      <c r="D60" s="400">
        <f>SUM($E$55:E60)</f>
        <v>34000</v>
      </c>
      <c r="E60" s="377">
        <v>2500</v>
      </c>
      <c r="F60" s="418">
        <f t="shared" si="11"/>
        <v>-62869.07515099804</v>
      </c>
      <c r="G60" s="379">
        <f>SUM($E$55:E60)*C60</f>
        <v>855019.4220535733</v>
      </c>
      <c r="H60" s="378"/>
      <c r="I60" s="378">
        <f>-(-SUM($F$55:F60)-SUM($H$55:H60))</f>
        <v>-580941.06163210515</v>
      </c>
      <c r="J60" s="408">
        <f t="shared" si="5"/>
        <v>-646834.30154772673</v>
      </c>
      <c r="K60" s="401">
        <f t="shared" si="21"/>
        <v>0.32055220425658953</v>
      </c>
      <c r="L60" s="378">
        <f>SUM($E$26:E60)*C60-SUM($F$26:F60)</f>
        <v>1071289.0405730065</v>
      </c>
      <c r="M60" s="427">
        <f t="shared" si="22"/>
        <v>27.177911829736416</v>
      </c>
      <c r="N60" s="446">
        <f t="shared" si="23"/>
        <v>17572.533805396175</v>
      </c>
      <c r="O60" s="446">
        <f t="shared" si="16"/>
        <v>-0.62629192636301978</v>
      </c>
      <c r="P60" s="379">
        <f>SUM($E$55:E60)*170/35/$B$1</f>
        <v>148319.69566235456</v>
      </c>
      <c r="Q60" s="402">
        <f t="shared" si="12"/>
        <v>0.17346938775510204</v>
      </c>
      <c r="R60" s="434">
        <f t="shared" si="10"/>
        <v>274078.36042146815</v>
      </c>
      <c r="S60" s="438">
        <f t="shared" si="13"/>
        <v>60132.683750576965</v>
      </c>
      <c r="T60" s="375">
        <f t="shared" si="24"/>
        <v>6400</v>
      </c>
      <c r="V60" s="393">
        <f t="shared" si="14"/>
        <v>28</v>
      </c>
      <c r="W60" s="388">
        <f t="shared" si="17"/>
        <v>72568.875317152022</v>
      </c>
      <c r="X60" s="388">
        <f t="shared" si="15"/>
        <v>927588.29737072531</v>
      </c>
      <c r="Y60" s="440">
        <f t="shared" si="18"/>
        <v>23.78295384654314</v>
      </c>
      <c r="Z60" s="450">
        <f t="shared" si="19"/>
        <v>4.2170461534568595</v>
      </c>
      <c r="AA60" s="449">
        <f t="shared" si="20"/>
        <v>0.15060879119488779</v>
      </c>
    </row>
    <row r="61" spans="2:27" x14ac:dyDescent="0.25">
      <c r="B61" s="376">
        <f t="shared" si="6"/>
        <v>29</v>
      </c>
      <c r="C61" s="399">
        <f t="shared" si="8"/>
        <v>26.045759705413474</v>
      </c>
      <c r="D61" s="400">
        <f>SUM($E$55:E61)</f>
        <v>36500</v>
      </c>
      <c r="E61" s="377">
        <v>2500</v>
      </c>
      <c r="F61" s="418">
        <f t="shared" si="11"/>
        <v>-65114.399263533684</v>
      </c>
      <c r="G61" s="379">
        <f>SUM($E$55:E61)*C61</f>
        <v>950670.22924759181</v>
      </c>
      <c r="H61" s="378"/>
      <c r="I61" s="378">
        <f>-(-SUM($F$55:F61)-SUM($H$55:H61))</f>
        <v>-646055.46089563868</v>
      </c>
      <c r="J61" s="408">
        <f t="shared" si="5"/>
        <v>-719334.30154772662</v>
      </c>
      <c r="K61" s="401">
        <f t="shared" si="21"/>
        <v>0.32042106608622906</v>
      </c>
      <c r="L61" s="378">
        <f>SUM($E$26:E61)*C61-SUM($F$26:F61)</f>
        <v>1221276.6912903874</v>
      </c>
      <c r="M61" s="427">
        <f t="shared" si="22"/>
        <v>28.153984404999083</v>
      </c>
      <c r="N61" s="446">
        <f t="shared" si="23"/>
        <v>19413.699577675608</v>
      </c>
      <c r="O61" s="446">
        <f t="shared" si="16"/>
        <v>-0.62895366052962021</v>
      </c>
      <c r="P61" s="379">
        <f>SUM($E$55:E61)*170/35/$B$1</f>
        <v>159225.55563752769</v>
      </c>
      <c r="Q61" s="402">
        <f t="shared" si="12"/>
        <v>0.16748768472906403</v>
      </c>
      <c r="R61" s="434">
        <f t="shared" si="10"/>
        <v>304614.76835195313</v>
      </c>
      <c r="S61" s="438">
        <f t="shared" si="13"/>
        <v>63835.488077062597</v>
      </c>
      <c r="T61" s="375">
        <f t="shared" si="24"/>
        <v>6400</v>
      </c>
      <c r="V61" s="393">
        <f t="shared" si="14"/>
        <v>29</v>
      </c>
      <c r="W61" s="388">
        <f t="shared" si="17"/>
        <v>76520.645755214762</v>
      </c>
      <c r="X61" s="388">
        <f t="shared" si="15"/>
        <v>1027190.8750028065</v>
      </c>
      <c r="Y61" s="440">
        <f t="shared" si="18"/>
        <v>24.81934644022413</v>
      </c>
      <c r="Z61" s="450">
        <f t="shared" si="19"/>
        <v>4.1806535597758696</v>
      </c>
      <c r="AA61" s="449">
        <f t="shared" si="20"/>
        <v>0.14416046757847822</v>
      </c>
    </row>
    <row r="62" spans="2:27" x14ac:dyDescent="0.25">
      <c r="B62" s="376">
        <f t="shared" si="6"/>
        <v>30</v>
      </c>
      <c r="C62" s="399">
        <f t="shared" si="8"/>
        <v>26.943889350427732</v>
      </c>
      <c r="D62" s="400">
        <f>SUM($E$55:E62)</f>
        <v>39000</v>
      </c>
      <c r="E62" s="377">
        <v>2500</v>
      </c>
      <c r="F62" s="418">
        <f t="shared" si="11"/>
        <v>-67359.723376069334</v>
      </c>
      <c r="G62" s="379">
        <f>SUM($E$55:E62)*C62</f>
        <v>1050811.6846666816</v>
      </c>
      <c r="H62" s="378"/>
      <c r="I62" s="378">
        <f>-(-SUM($F$55:F62)-SUM($H$55:H62))</f>
        <v>-713415.18427170813</v>
      </c>
      <c r="J62" s="408">
        <f t="shared" si="5"/>
        <v>-794334.30154772673</v>
      </c>
      <c r="K62" s="401">
        <f t="shared" si="21"/>
        <v>0.32108179354895156</v>
      </c>
      <c r="L62" s="378">
        <f>SUM($E$26:E62)*C62-SUM($F$26:F62)</f>
        <v>1378000.3143453756</v>
      </c>
      <c r="M62" s="427">
        <f t="shared" si="22"/>
        <v>29.096494562187793</v>
      </c>
      <c r="N62" s="446">
        <f t="shared" si="23"/>
        <v>22152.994994968991</v>
      </c>
      <c r="O62" s="446">
        <f t="shared" si="16"/>
        <v>-0.63062424702105957</v>
      </c>
      <c r="P62" s="379">
        <f>SUM($E$55:E62)*170/35/$B$1</f>
        <v>170131.4156127008</v>
      </c>
      <c r="Q62" s="402">
        <f t="shared" si="12"/>
        <v>0.16190476190476188</v>
      </c>
      <c r="R62" s="434">
        <f t="shared" si="10"/>
        <v>337396.50039497344</v>
      </c>
      <c r="S62" s="438">
        <f t="shared" si="13"/>
        <v>67654.967447621559</v>
      </c>
      <c r="T62" s="375">
        <f t="shared" si="24"/>
        <v>6400</v>
      </c>
      <c r="U62" s="375">
        <v>14</v>
      </c>
      <c r="V62" s="393">
        <f t="shared" si="14"/>
        <v>30</v>
      </c>
      <c r="W62" s="388">
        <f>U62*T62/$B$1</f>
        <v>80472.416193277488</v>
      </c>
      <c r="X62" s="388">
        <f t="shared" si="15"/>
        <v>1131284.1008599591</v>
      </c>
      <c r="Y62" s="440">
        <f t="shared" si="18"/>
        <v>25.814443280136512</v>
      </c>
      <c r="Z62" s="450">
        <f t="shared" si="19"/>
        <v>4.185556719863488</v>
      </c>
      <c r="AA62" s="449">
        <f t="shared" si="20"/>
        <v>0.13951855732878293</v>
      </c>
    </row>
    <row r="63" spans="2:27" x14ac:dyDescent="0.25">
      <c r="B63" s="376">
        <f t="shared" si="6"/>
        <v>31</v>
      </c>
      <c r="C63" s="399">
        <f t="shared" si="8"/>
        <v>27.84201899544199</v>
      </c>
      <c r="D63" s="400">
        <f>SUM($E$55:E63)</f>
        <v>41000</v>
      </c>
      <c r="E63" s="377">
        <v>2000</v>
      </c>
      <c r="F63" s="418">
        <f t="shared" si="11"/>
        <v>-55684.037990883982</v>
      </c>
      <c r="G63" s="379">
        <f>SUM($E$55:E63)*C63</f>
        <v>1141522.7788131216</v>
      </c>
      <c r="H63" s="378"/>
      <c r="I63" s="378">
        <f>-(-SUM($F$55:F63)-SUM($H$55:H63))</f>
        <v>-769099.22226259205</v>
      </c>
      <c r="J63" s="408">
        <f t="shared" si="5"/>
        <v>-856334.30154772662</v>
      </c>
      <c r="K63" s="401">
        <f t="shared" si="21"/>
        <v>0.32625153300729615</v>
      </c>
      <c r="L63" s="378">
        <f>SUM($E$26:E63)*C63-SUM($F$26:F63)</f>
        <v>1513617.8907425283</v>
      </c>
      <c r="M63" s="427">
        <f t="shared" si="22"/>
        <v>29.837432109676886</v>
      </c>
      <c r="N63" s="446">
        <f t="shared" si="23"/>
        <v>29966.722906593059</v>
      </c>
      <c r="O63" s="446">
        <f t="shared" si="16"/>
        <v>-0.62702040062950426</v>
      </c>
      <c r="P63" s="379">
        <f>SUM($E$55:E63)*170/35/$B$1</f>
        <v>178856.10359283932</v>
      </c>
      <c r="Q63" s="402">
        <f t="shared" si="12"/>
        <v>0.15668202764976957</v>
      </c>
      <c r="R63" s="434">
        <f t="shared" si="10"/>
        <v>372423.55655052955</v>
      </c>
      <c r="S63" s="438">
        <f t="shared" si="13"/>
        <v>71681.149686145247</v>
      </c>
      <c r="T63" s="375">
        <f t="shared" si="24"/>
        <v>6400</v>
      </c>
      <c r="V63" s="393">
        <f t="shared" si="14"/>
        <v>31</v>
      </c>
      <c r="W63" s="388">
        <f>($W$67-$W$62)/(38-33)+W62</f>
        <v>85070.839975750481</v>
      </c>
      <c r="X63" s="388">
        <f t="shared" si="15"/>
        <v>1226593.6187888721</v>
      </c>
      <c r="Y63" s="440">
        <f t="shared" si="18"/>
        <v>26.537083677621137</v>
      </c>
      <c r="Z63" s="450">
        <f t="shared" si="19"/>
        <v>4.462916322378863</v>
      </c>
      <c r="AA63" s="449">
        <f t="shared" si="20"/>
        <v>0.14396504265738264</v>
      </c>
    </row>
    <row r="64" spans="2:27" x14ac:dyDescent="0.25">
      <c r="B64" s="376">
        <f t="shared" si="6"/>
        <v>32</v>
      </c>
      <c r="C64" s="399">
        <f t="shared" si="8"/>
        <v>28.740148640456248</v>
      </c>
      <c r="D64" s="400">
        <f>SUM($E$55:E64)</f>
        <v>43000</v>
      </c>
      <c r="E64" s="377">
        <v>2000</v>
      </c>
      <c r="F64" s="418">
        <f t="shared" si="11"/>
        <v>-57480.297280912499</v>
      </c>
      <c r="G64" s="379">
        <f>SUM($E$55:E64)*C64</f>
        <v>1235826.3915396186</v>
      </c>
      <c r="H64" s="378"/>
      <c r="I64" s="378">
        <f>-(-SUM($F$55:F64)-SUM($H$55:H64))</f>
        <v>-826579.51954350458</v>
      </c>
      <c r="J64" s="408">
        <f t="shared" si="5"/>
        <v>-920334.30154772662</v>
      </c>
      <c r="K64" s="401">
        <f t="shared" si="21"/>
        <v>0.33115239713101258</v>
      </c>
      <c r="L64" s="378">
        <f>SUM($E$26:E64)*C64-SUM($F$26:F64)</f>
        <v>1654624.2450097669</v>
      </c>
      <c r="M64" s="427">
        <f t="shared" si="22"/>
        <v>30.575890416867995</v>
      </c>
      <c r="N64" s="446">
        <f t="shared" si="23"/>
        <v>38498.954534228484</v>
      </c>
      <c r="O64" s="446">
        <f t="shared" si="16"/>
        <v>-0.62360032357689632</v>
      </c>
      <c r="P64" s="379">
        <f>SUM($E$55:E64)*170/35/$B$1</f>
        <v>187580.79157297785</v>
      </c>
      <c r="Q64" s="402">
        <f t="shared" si="12"/>
        <v>0.1517857142857143</v>
      </c>
      <c r="R64" s="434">
        <f t="shared" si="10"/>
        <v>409246.87199611403</v>
      </c>
      <c r="S64" s="438">
        <f t="shared" si="13"/>
        <v>75728.342034140529</v>
      </c>
      <c r="T64" s="375">
        <f t="shared" si="24"/>
        <v>6400</v>
      </c>
      <c r="V64" s="393">
        <f t="shared" si="14"/>
        <v>32</v>
      </c>
      <c r="W64" s="388">
        <f>($W$67-$W$62)/(38-33)+W63</f>
        <v>89669.263758223475</v>
      </c>
      <c r="X64" s="388">
        <f t="shared" si="15"/>
        <v>1325495.6552978421</v>
      </c>
      <c r="Y64" s="440">
        <f t="shared" si="18"/>
        <v>27.258946895273311</v>
      </c>
      <c r="Z64" s="450">
        <f t="shared" si="19"/>
        <v>4.7410531047266886</v>
      </c>
      <c r="AA64" s="449">
        <f t="shared" si="20"/>
        <v>0.14815790952270902</v>
      </c>
    </row>
    <row r="65" spans="2:27" x14ac:dyDescent="0.25">
      <c r="B65" s="376">
        <f t="shared" si="6"/>
        <v>33</v>
      </c>
      <c r="C65" s="399">
        <f t="shared" si="8"/>
        <v>29.638278285470506</v>
      </c>
      <c r="D65" s="400">
        <f>SUM($E$55:E65)</f>
        <v>45000</v>
      </c>
      <c r="E65" s="377">
        <v>2000</v>
      </c>
      <c r="F65" s="418">
        <f t="shared" si="11"/>
        <v>-59276.556570941015</v>
      </c>
      <c r="G65" s="379">
        <f>SUM($E$55:E65)*C65</f>
        <v>1333722.5228461728</v>
      </c>
      <c r="H65" s="378"/>
      <c r="I65" s="378">
        <f>-(-SUM($F$55:F65)-SUM($H$55:H65))</f>
        <v>-885856.07611444569</v>
      </c>
      <c r="J65" s="408">
        <f t="shared" si="5"/>
        <v>-986334.30154772685</v>
      </c>
      <c r="K65" s="401">
        <f t="shared" si="21"/>
        <v>0.33580181713957796</v>
      </c>
      <c r="L65" s="378">
        <f>SUM($E$26:E65)*C65-SUM($F$26:F65)</f>
        <v>1801019.3771470909</v>
      </c>
      <c r="M65" s="427">
        <f t="shared" si="22"/>
        <v>31.312200049134184</v>
      </c>
      <c r="N65" s="446">
        <f t="shared" si="23"/>
        <v>47749.689877875266</v>
      </c>
      <c r="O65" s="446">
        <f t="shared" si="16"/>
        <v>-0.62035164503995499</v>
      </c>
      <c r="P65" s="379">
        <f>SUM($E$55:E65)*170/35/$B$1</f>
        <v>196305.47955311634</v>
      </c>
      <c r="Q65" s="402">
        <f t="shared" si="12"/>
        <v>0.1471861471861472</v>
      </c>
      <c r="R65" s="434">
        <f t="shared" si="10"/>
        <v>447866.4467317271</v>
      </c>
      <c r="S65" s="438">
        <f t="shared" si="13"/>
        <v>79794.634481655419</v>
      </c>
      <c r="T65" s="375">
        <f t="shared" si="24"/>
        <v>6400</v>
      </c>
      <c r="V65" s="393">
        <f t="shared" si="14"/>
        <v>33</v>
      </c>
      <c r="W65" s="388">
        <f>($W$67-$W$62)/(38-33)+W64</f>
        <v>94267.687540696468</v>
      </c>
      <c r="X65" s="388">
        <f t="shared" si="15"/>
        <v>1427990.2103868693</v>
      </c>
      <c r="Y65" s="440">
        <f t="shared" si="18"/>
        <v>27.98013655707069</v>
      </c>
      <c r="Z65" s="450">
        <f t="shared" si="19"/>
        <v>5.0198634429293101</v>
      </c>
      <c r="AA65" s="449">
        <f t="shared" si="20"/>
        <v>0.15211707402816088</v>
      </c>
    </row>
    <row r="66" spans="2:27" x14ac:dyDescent="0.25">
      <c r="B66" s="376">
        <f t="shared" si="6"/>
        <v>34</v>
      </c>
      <c r="C66" s="399">
        <f t="shared" si="8"/>
        <v>30.536407930484764</v>
      </c>
      <c r="D66" s="400">
        <f>SUM($E$55:E66)</f>
        <v>47000</v>
      </c>
      <c r="E66" s="377">
        <v>2000</v>
      </c>
      <c r="F66" s="418">
        <f t="shared" si="11"/>
        <v>-61072.815860969524</v>
      </c>
      <c r="G66" s="379">
        <f>SUM($E$55:E66)*C66</f>
        <v>1435211.1727327839</v>
      </c>
      <c r="H66" s="378"/>
      <c r="I66" s="378">
        <f>-(-SUM($F$55:F66)-SUM($H$55:H66))</f>
        <v>-946928.89197541517</v>
      </c>
      <c r="J66" s="408">
        <f t="shared" si="5"/>
        <v>-1054334.3015477268</v>
      </c>
      <c r="K66" s="401">
        <f t="shared" si="21"/>
        <v>0.34021633194760537</v>
      </c>
      <c r="L66" s="378">
        <f>SUM($E$26:E66)*C66-SUM($F$26:F66)</f>
        <v>1952803.2871545004</v>
      </c>
      <c r="M66" s="427">
        <f t="shared" si="22"/>
        <v>32.046635305402027</v>
      </c>
      <c r="N66" s="446">
        <f t="shared" si="23"/>
        <v>57718.928937533579</v>
      </c>
      <c r="O66" s="446">
        <f t="shared" si="16"/>
        <v>-0.61726283402869109</v>
      </c>
      <c r="P66" s="379">
        <f>SUM($E$55:E66)*170/35/$B$1</f>
        <v>205030.16753325483</v>
      </c>
      <c r="Q66" s="402">
        <f t="shared" si="12"/>
        <v>0.14285714285714285</v>
      </c>
      <c r="R66" s="434">
        <f t="shared" si="10"/>
        <v>488282.28075736878</v>
      </c>
      <c r="S66" s="438">
        <f t="shared" si="13"/>
        <v>83878.341725791164</v>
      </c>
      <c r="T66" s="375">
        <f t="shared" si="24"/>
        <v>6400</v>
      </c>
      <c r="V66" s="393">
        <f t="shared" si="14"/>
        <v>34</v>
      </c>
      <c r="W66" s="388">
        <f>($W$67-$W$62)/(38-33)+W65</f>
        <v>98866.111323169462</v>
      </c>
      <c r="X66" s="388">
        <f t="shared" si="15"/>
        <v>1534077.2840559534</v>
      </c>
      <c r="Y66" s="440">
        <f t="shared" si="18"/>
        <v>28.700738648867077</v>
      </c>
      <c r="Z66" s="450">
        <f t="shared" si="19"/>
        <v>5.2992613511329232</v>
      </c>
      <c r="AA66" s="449">
        <f t="shared" si="20"/>
        <v>0.15586062797449773</v>
      </c>
    </row>
    <row r="67" spans="2:27" x14ac:dyDescent="0.25">
      <c r="B67" s="376">
        <f t="shared" si="6"/>
        <v>35</v>
      </c>
      <c r="C67" s="399">
        <f t="shared" si="8"/>
        <v>31.434537575499022</v>
      </c>
      <c r="D67" s="400">
        <f>SUM($E$55:E67)</f>
        <v>49000</v>
      </c>
      <c r="E67" s="377">
        <v>2000</v>
      </c>
      <c r="F67" s="418">
        <f t="shared" si="11"/>
        <v>-62869.07515099804</v>
      </c>
      <c r="G67" s="379">
        <f>SUM($E$55:E67)*C67</f>
        <v>1540292.3411994521</v>
      </c>
      <c r="H67" s="378"/>
      <c r="I67" s="378">
        <f>-(-SUM($F$55:F67)-SUM($H$55:H67))</f>
        <v>-1009797.9671264132</v>
      </c>
      <c r="J67" s="408">
        <f t="shared" si="5"/>
        <v>-1124334.3015477268</v>
      </c>
      <c r="K67" s="401">
        <f t="shared" si="21"/>
        <v>0.34441148597800192</v>
      </c>
      <c r="L67" s="378">
        <f>SUM($E$26:E67)*C67-SUM($F$26:F67)</f>
        <v>2109975.9750319957</v>
      </c>
      <c r="M67" s="427">
        <f t="shared" si="22"/>
        <v>32.779425701099903</v>
      </c>
      <c r="N67" s="446">
        <f t="shared" si="23"/>
        <v>68406.671713203192</v>
      </c>
      <c r="O67" s="446">
        <f t="shared" si="16"/>
        <v>-0.61432318956820386</v>
      </c>
      <c r="P67" s="379">
        <f>SUM($E$55:E67)*170/35/$B$1</f>
        <v>213754.85551339333</v>
      </c>
      <c r="Q67" s="402">
        <f t="shared" si="12"/>
        <v>0.13877551020408163</v>
      </c>
      <c r="R67" s="434">
        <f t="shared" si="10"/>
        <v>530494.37407303881</v>
      </c>
      <c r="S67" s="438">
        <f t="shared" si="13"/>
        <v>87977.971069694555</v>
      </c>
      <c r="T67" s="375">
        <f t="shared" si="24"/>
        <v>6400</v>
      </c>
      <c r="U67" s="375">
        <v>18</v>
      </c>
      <c r="V67" s="393">
        <f t="shared" si="14"/>
        <v>35</v>
      </c>
      <c r="W67" s="388">
        <f>U67*T67/$B$1</f>
        <v>103464.53510564248</v>
      </c>
      <c r="X67" s="388">
        <f t="shared" si="15"/>
        <v>1643756.8763050945</v>
      </c>
      <c r="Y67" s="440">
        <f t="shared" si="18"/>
        <v>29.420825118009525</v>
      </c>
      <c r="Z67" s="450">
        <f t="shared" si="19"/>
        <v>5.5791748819904754</v>
      </c>
      <c r="AA67" s="449">
        <f t="shared" si="20"/>
        <v>0.15940499662829932</v>
      </c>
    </row>
    <row r="68" spans="2:27" x14ac:dyDescent="0.25">
      <c r="B68" s="376">
        <f t="shared" si="6"/>
        <v>36</v>
      </c>
      <c r="C68" s="399">
        <f t="shared" si="8"/>
        <v>32.332667220513279</v>
      </c>
      <c r="D68" s="400">
        <f>SUM($E$55:E68)</f>
        <v>51000</v>
      </c>
      <c r="E68" s="377">
        <v>2000</v>
      </c>
      <c r="F68" s="418">
        <f t="shared" si="11"/>
        <v>-64665.334441026556</v>
      </c>
      <c r="G68" s="379">
        <f>SUM($E$55:E68)*C68</f>
        <v>1648966.0282461774</v>
      </c>
      <c r="H68" s="378"/>
      <c r="I68" s="378">
        <f>-(-SUM($F$55:F68)-SUM($H$55:H68))</f>
        <v>-1074463.3015674399</v>
      </c>
      <c r="J68" s="408">
        <f t="shared" si="5"/>
        <v>-1196334.3015477268</v>
      </c>
      <c r="K68" s="401">
        <f t="shared" si="21"/>
        <v>0.34840179654263248</v>
      </c>
      <c r="L68" s="378">
        <f>SUM($E$26:E68)*C68-SUM($F$26:F68)</f>
        <v>2272537.4407795761</v>
      </c>
      <c r="M68" s="427">
        <f t="shared" si="22"/>
        <v>33.510764749236046</v>
      </c>
      <c r="N68" s="446">
        <f t="shared" si="23"/>
        <v>79812.918204884278</v>
      </c>
      <c r="O68" s="446">
        <f t="shared" si="16"/>
        <v>-0.61192318394903777</v>
      </c>
      <c r="P68" s="379">
        <f>SUM($E$55:E68)*170/35/$B$1</f>
        <v>222479.54349353185</v>
      </c>
      <c r="Q68" s="402">
        <f t="shared" si="12"/>
        <v>0.13492063492063491</v>
      </c>
      <c r="R68" s="434">
        <f t="shared" si="10"/>
        <v>574502.72667873744</v>
      </c>
      <c r="S68" s="438">
        <f t="shared" si="13"/>
        <v>91937.090107626893</v>
      </c>
      <c r="T68" s="375">
        <f t="shared" si="24"/>
        <v>6400</v>
      </c>
      <c r="V68" s="393">
        <f t="shared" si="14"/>
        <v>36</v>
      </c>
      <c r="W68" s="388">
        <f>($W$72-$W$67)/(38-33)+W67</f>
        <v>106913.35294249724</v>
      </c>
      <c r="X68" s="388">
        <f t="shared" si="15"/>
        <v>1755879.3811886746</v>
      </c>
      <c r="Y68" s="440">
        <f t="shared" si="18"/>
        <v>30.176310967723442</v>
      </c>
      <c r="Z68" s="450">
        <f t="shared" si="19"/>
        <v>5.8236890322765582</v>
      </c>
      <c r="AA68" s="449">
        <f t="shared" si="20"/>
        <v>0.16176913978545993</v>
      </c>
    </row>
    <row r="69" spans="2:27" x14ac:dyDescent="0.25">
      <c r="B69" s="376">
        <f t="shared" si="6"/>
        <v>37</v>
      </c>
      <c r="C69" s="399">
        <f t="shared" ref="C69:C75" si="25">B69/$B$1</f>
        <v>33.230796865527537</v>
      </c>
      <c r="D69" s="400">
        <f>SUM($E$55:E69)</f>
        <v>53000</v>
      </c>
      <c r="E69" s="377">
        <v>2000</v>
      </c>
      <c r="F69" s="418">
        <f t="shared" si="11"/>
        <v>-66461.59373105508</v>
      </c>
      <c r="G69" s="379">
        <f>SUM($E$55:E69)*C69</f>
        <v>1761232.2338729594</v>
      </c>
      <c r="H69" s="378"/>
      <c r="I69" s="378">
        <f>-(-SUM($F$55:F69)-SUM($H$55:H69))</f>
        <v>-1140924.895298495</v>
      </c>
      <c r="J69" s="408">
        <f t="shared" si="5"/>
        <v>-1270334.3015477268</v>
      </c>
      <c r="K69" s="401">
        <f t="shared" si="21"/>
        <v>0.35220076412660539</v>
      </c>
      <c r="L69" s="378">
        <f>SUM($E$26:E69)*C69-SUM($F$26:F69)</f>
        <v>2440487.684397242</v>
      </c>
      <c r="M69" s="427">
        <f t="shared" si="22"/>
        <v>34.240816753308003</v>
      </c>
      <c r="N69" s="446">
        <f t="shared" si="23"/>
        <v>91937.668412576662</v>
      </c>
      <c r="O69" s="446">
        <f t="shared" si="16"/>
        <v>-0.60960050557024725</v>
      </c>
      <c r="P69" s="379">
        <f>SUM($E$55:E69)*170/35/$B$1</f>
        <v>231204.23147367034</v>
      </c>
      <c r="Q69" s="402">
        <f t="shared" si="12"/>
        <v>0.13127413127413126</v>
      </c>
      <c r="R69" s="434">
        <f t="shared" ref="R69:R100" si="26">G69+I69</f>
        <v>620307.33857446443</v>
      </c>
      <c r="S69" s="438">
        <f t="shared" si="13"/>
        <v>95918.005088917969</v>
      </c>
      <c r="T69" s="375">
        <f t="shared" si="24"/>
        <v>6400</v>
      </c>
      <c r="V69" s="393">
        <f t="shared" si="14"/>
        <v>37</v>
      </c>
      <c r="W69" s="388">
        <f>($W$72-$W$67)/(38-33)+W68</f>
        <v>110362.17077935199</v>
      </c>
      <c r="X69" s="388">
        <f t="shared" si="15"/>
        <v>1871594.4046523115</v>
      </c>
      <c r="Y69" s="440">
        <f t="shared" si="18"/>
        <v>30.928687373254096</v>
      </c>
      <c r="Z69" s="450">
        <f t="shared" si="19"/>
        <v>6.0713126267459039</v>
      </c>
      <c r="AA69" s="449">
        <f t="shared" si="20"/>
        <v>0.164089530452592</v>
      </c>
    </row>
    <row r="70" spans="2:27" x14ac:dyDescent="0.25">
      <c r="B70" s="376">
        <f t="shared" si="6"/>
        <v>38</v>
      </c>
      <c r="C70" s="399">
        <f t="shared" si="25"/>
        <v>34.128926510541795</v>
      </c>
      <c r="D70" s="400">
        <f>SUM($E$55:E70)</f>
        <v>55000</v>
      </c>
      <c r="E70" s="377">
        <v>2000</v>
      </c>
      <c r="F70" s="418">
        <f t="shared" si="11"/>
        <v>-68257.853021083589</v>
      </c>
      <c r="G70" s="379">
        <f>SUM($E$55:E70)*C70</f>
        <v>1877090.9580797988</v>
      </c>
      <c r="H70" s="378"/>
      <c r="I70" s="378">
        <f>-(-SUM($F$55:F70)-SUM($H$55:H70))</f>
        <v>-1209182.7483195786</v>
      </c>
      <c r="J70" s="408">
        <f t="shared" ref="J70:J107" si="27">I70*$B$1</f>
        <v>-1346334.3015477268</v>
      </c>
      <c r="K70" s="401">
        <f t="shared" si="21"/>
        <v>0.35582090835036995</v>
      </c>
      <c r="L70" s="378">
        <f>SUM($E$26:E70)*C70-SUM($F$26:F70)</f>
        <v>2613826.705884994</v>
      </c>
      <c r="M70" s="427">
        <f t="shared" si="22"/>
        <v>34.969722118122775</v>
      </c>
      <c r="N70" s="446">
        <f t="shared" si="23"/>
        <v>104780.92233628058</v>
      </c>
      <c r="O70" s="446">
        <f t="shared" si="16"/>
        <v>-0.60735424480661826</v>
      </c>
      <c r="P70" s="379">
        <f>SUM($E$55:E70)*170/35/$B$1</f>
        <v>239928.91945380886</v>
      </c>
      <c r="Q70" s="402">
        <f t="shared" si="12"/>
        <v>0.12781954887218044</v>
      </c>
      <c r="R70" s="434">
        <f t="shared" si="26"/>
        <v>667908.20976022026</v>
      </c>
      <c r="S70" s="438">
        <f t="shared" si="13"/>
        <v>99918.995281197422</v>
      </c>
      <c r="T70" s="375">
        <f t="shared" si="24"/>
        <v>6400</v>
      </c>
      <c r="V70" s="393">
        <f t="shared" si="14"/>
        <v>38</v>
      </c>
      <c r="W70" s="388">
        <f>($W$72-$W$67)/(38-33)+W69</f>
        <v>113810.98861620674</v>
      </c>
      <c r="X70" s="388">
        <f t="shared" si="15"/>
        <v>1990901.9466960055</v>
      </c>
      <c r="Y70" s="440">
        <f t="shared" si="18"/>
        <v>31.678293546694206</v>
      </c>
      <c r="Z70" s="450">
        <f t="shared" si="19"/>
        <v>6.3217064533057936</v>
      </c>
      <c r="AA70" s="449">
        <f t="shared" si="20"/>
        <v>0.16636069613962612</v>
      </c>
    </row>
    <row r="71" spans="2:27" x14ac:dyDescent="0.25">
      <c r="B71" s="376">
        <f>B70+$E$1</f>
        <v>39</v>
      </c>
      <c r="C71" s="399">
        <f t="shared" si="25"/>
        <v>35.027056155556053</v>
      </c>
      <c r="D71" s="400">
        <f>SUM($E$55:E71)</f>
        <v>57000</v>
      </c>
      <c r="E71" s="377">
        <v>2000</v>
      </c>
      <c r="F71" s="418">
        <f t="shared" si="11"/>
        <v>-70054.112311112112</v>
      </c>
      <c r="G71" s="379">
        <f>SUM($E$55:E71)*C71</f>
        <v>1996542.200866695</v>
      </c>
      <c r="H71" s="378"/>
      <c r="I71" s="378">
        <f>-(-SUM($F$55:F71)-SUM($H$55:H71))</f>
        <v>-1279236.8606306906</v>
      </c>
      <c r="J71" s="408">
        <f t="shared" si="27"/>
        <v>-1424334.3015477268</v>
      </c>
      <c r="K71" s="401">
        <f t="shared" si="21"/>
        <v>0.35927381846705952</v>
      </c>
      <c r="L71" s="378">
        <f>SUM($E$26:E71)*C71-SUM($F$26:F71)</f>
        <v>2792554.5052428311</v>
      </c>
      <c r="M71" s="427">
        <f t="shared" si="22"/>
        <v>35.697601542549549</v>
      </c>
      <c r="N71" s="446">
        <f t="shared" si="23"/>
        <v>118342.67997599591</v>
      </c>
      <c r="O71" s="446">
        <f t="shared" si="16"/>
        <v>-0.60518291505112543</v>
      </c>
      <c r="P71" s="379">
        <f>SUM($E$55:E71)*170/35/$B$1</f>
        <v>248653.60743394733</v>
      </c>
      <c r="Q71" s="402">
        <f t="shared" si="12"/>
        <v>0.12454212454212452</v>
      </c>
      <c r="R71" s="434">
        <f t="shared" si="26"/>
        <v>717305.34023600444</v>
      </c>
      <c r="S71" s="438">
        <f t="shared" si="13"/>
        <v>103938.51643746607</v>
      </c>
      <c r="T71" s="375">
        <f t="shared" si="24"/>
        <v>6400</v>
      </c>
      <c r="V71" s="393">
        <f t="shared" si="14"/>
        <v>39</v>
      </c>
      <c r="W71" s="388">
        <f>($W$72-$W$67)/(38-33)+W70</f>
        <v>117259.80645306149</v>
      </c>
      <c r="X71" s="388">
        <f t="shared" si="15"/>
        <v>2113802.0073197563</v>
      </c>
      <c r="Y71" s="440">
        <f t="shared" si="18"/>
        <v>32.425421091421725</v>
      </c>
      <c r="Z71" s="450">
        <f t="shared" si="19"/>
        <v>6.5745789085782746</v>
      </c>
      <c r="AA71" s="449">
        <f t="shared" si="20"/>
        <v>0.16857894637380189</v>
      </c>
    </row>
    <row r="72" spans="2:27" x14ac:dyDescent="0.25">
      <c r="B72" s="376">
        <f>B71+$E$1</f>
        <v>40</v>
      </c>
      <c r="C72" s="399">
        <f t="shared" si="25"/>
        <v>35.925185800570311</v>
      </c>
      <c r="D72" s="400">
        <f>SUM($E$55:E72)</f>
        <v>59000</v>
      </c>
      <c r="E72" s="377">
        <v>2000</v>
      </c>
      <c r="F72" s="418">
        <f t="shared" si="11"/>
        <v>-71850.371601140621</v>
      </c>
      <c r="G72" s="379">
        <f>SUM($E$55:E72)*C72</f>
        <v>2119585.9622336482</v>
      </c>
      <c r="H72" s="378"/>
      <c r="I72" s="378">
        <f>-(-SUM($F$55:F72)-SUM($H$55:H72))</f>
        <v>-1351087.2322318312</v>
      </c>
      <c r="J72" s="408">
        <f t="shared" si="27"/>
        <v>-1504334.3015477268</v>
      </c>
      <c r="K72" s="401">
        <f t="shared" si="21"/>
        <v>0.36257021120859034</v>
      </c>
      <c r="L72" s="378">
        <f>SUM($E$26:E72)*C72-SUM($F$26:F72)</f>
        <v>2976671.0824707542</v>
      </c>
      <c r="M72" s="427">
        <f t="shared" si="22"/>
        <v>36.424559359509125</v>
      </c>
      <c r="N72" s="446">
        <f t="shared" ref="N72:N85" si="28">R72-G72*0.3</f>
        <v>132622.94133172254</v>
      </c>
      <c r="O72" s="446">
        <f t="shared" si="16"/>
        <v>-0.6030846301907179</v>
      </c>
      <c r="P72" s="379">
        <f>SUM($E$55:E72)*170/35/$B$1</f>
        <v>257378.29541408585</v>
      </c>
      <c r="Q72" s="402">
        <f t="shared" si="12"/>
        <v>0.12142857142857143</v>
      </c>
      <c r="R72" s="434">
        <f t="shared" si="26"/>
        <v>768498.73000181699</v>
      </c>
      <c r="S72" s="438">
        <f t="shared" si="13"/>
        <v>107975.17873542475</v>
      </c>
      <c r="T72" s="375">
        <f t="shared" si="24"/>
        <v>6400</v>
      </c>
      <c r="U72" s="375">
        <v>21</v>
      </c>
      <c r="V72" s="393">
        <f t="shared" si="14"/>
        <v>40</v>
      </c>
      <c r="W72" s="388">
        <f>U72*T72/$B$1</f>
        <v>120708.62428991623</v>
      </c>
      <c r="X72" s="388">
        <f t="shared" si="15"/>
        <v>2240294.5865235645</v>
      </c>
      <c r="Y72" s="440">
        <f t="shared" si="18"/>
        <v>33.170322071373533</v>
      </c>
      <c r="Z72" s="450">
        <f t="shared" si="19"/>
        <v>6.8296779286264666</v>
      </c>
      <c r="AA72" s="449">
        <f t="shared" si="20"/>
        <v>0.17074194821566169</v>
      </c>
    </row>
    <row r="73" spans="2:27" x14ac:dyDescent="0.25">
      <c r="B73" s="376">
        <f>B72+$E$1</f>
        <v>41</v>
      </c>
      <c r="C73" s="399">
        <f t="shared" si="25"/>
        <v>36.823315445584569</v>
      </c>
      <c r="D73" s="400">
        <f>SUM($E$55:E73)</f>
        <v>61000</v>
      </c>
      <c r="E73" s="377">
        <v>2000</v>
      </c>
      <c r="F73" s="418">
        <f t="shared" si="11"/>
        <v>-73646.630891169145</v>
      </c>
      <c r="G73" s="379">
        <f>SUM($E$55:E73)*C73</f>
        <v>2246222.2421806585</v>
      </c>
      <c r="H73" s="378">
        <f>W72</f>
        <v>120708.62428991623</v>
      </c>
      <c r="I73" s="378">
        <f>-(-SUM($F$55:F73)-SUM($H$55:H73))</f>
        <v>-1304025.2388330842</v>
      </c>
      <c r="J73" s="408">
        <f t="shared" si="27"/>
        <v>-1451934.3015477268</v>
      </c>
      <c r="K73" s="401">
        <f t="shared" si="21"/>
        <v>0.41945849598251622</v>
      </c>
      <c r="L73" s="378">
        <f>SUM($E$26:E73)*C73-SUM($F$26:F73)</f>
        <v>3166176.4375687623</v>
      </c>
      <c r="M73" s="427">
        <f t="shared" si="22"/>
        <v>34.003145235309766</v>
      </c>
      <c r="N73" s="446">
        <f t="shared" si="28"/>
        <v>268330.33069337672</v>
      </c>
      <c r="O73" s="446"/>
      <c r="P73" s="379">
        <f>SUM($E$55:E73)*170/35/$B$1</f>
        <v>266102.98339422431</v>
      </c>
      <c r="Q73" s="402">
        <f t="shared" si="12"/>
        <v>0.11846689895470382</v>
      </c>
      <c r="R73" s="434">
        <f t="shared" si="26"/>
        <v>942197.00334757427</v>
      </c>
      <c r="S73" s="438">
        <f t="shared" ref="S73:S80" si="29">(R73+W73)*Q73</f>
        <v>111619.15719100181</v>
      </c>
      <c r="W73" s="394"/>
      <c r="X73" s="388"/>
      <c r="Y73" s="440">
        <f t="shared" si="18"/>
        <v>34.003145235309766</v>
      </c>
      <c r="Z73" s="450">
        <f t="shared" si="19"/>
        <v>6.9968547646902337</v>
      </c>
      <c r="AA73" s="449">
        <f t="shared" si="20"/>
        <v>0.17065499426073738</v>
      </c>
    </row>
    <row r="74" spans="2:27" x14ac:dyDescent="0.25">
      <c r="B74" s="376">
        <f>B73+$E$1</f>
        <v>42</v>
      </c>
      <c r="C74" s="399">
        <f t="shared" si="25"/>
        <v>37.721445090598827</v>
      </c>
      <c r="D74" s="400">
        <f>SUM($E$55:E74)</f>
        <v>63000</v>
      </c>
      <c r="E74" s="377">
        <v>2000</v>
      </c>
      <c r="F74" s="418">
        <f t="shared" si="11"/>
        <v>-75442.890181197654</v>
      </c>
      <c r="G74" s="379">
        <f>SUM($E$55:E74)*C74</f>
        <v>2376451.040707726</v>
      </c>
      <c r="H74" s="378"/>
      <c r="I74" s="378">
        <f>-(-SUM($F$55:F74)-SUM($H$55:H74))</f>
        <v>-1379468.1290142818</v>
      </c>
      <c r="J74" s="408">
        <f t="shared" si="27"/>
        <v>-1535934.3015477268</v>
      </c>
      <c r="K74" s="401">
        <f t="shared" si="21"/>
        <v>0.41952596313389012</v>
      </c>
      <c r="L74" s="378">
        <f>SUM($E$26:E74)*C74-SUM($F$26:F74)</f>
        <v>3361070.5705368565</v>
      </c>
      <c r="M74" s="427">
        <f t="shared" si="22"/>
        <v>34.828442211966596</v>
      </c>
      <c r="N74" s="446">
        <f t="shared" si="28"/>
        <v>284047.59948112641</v>
      </c>
      <c r="O74" s="446"/>
      <c r="P74" s="379">
        <f>SUM($E$55:E74)*170/35/$B$1</f>
        <v>274827.67137436284</v>
      </c>
      <c r="Q74" s="402">
        <f t="shared" si="12"/>
        <v>0.11564625850340135</v>
      </c>
      <c r="R74" s="434">
        <f t="shared" si="26"/>
        <v>996982.91169344424</v>
      </c>
      <c r="S74" s="438">
        <f t="shared" si="29"/>
        <v>115297.34352917381</v>
      </c>
      <c r="W74" s="394"/>
      <c r="X74" s="388"/>
      <c r="Y74" s="440">
        <f t="shared" si="18"/>
        <v>34.828442211966596</v>
      </c>
      <c r="Z74" s="450">
        <f t="shared" si="19"/>
        <v>7.1715577880334038</v>
      </c>
      <c r="AA74" s="449">
        <f t="shared" si="20"/>
        <v>0.17075137590555722</v>
      </c>
    </row>
    <row r="75" spans="2:27" x14ac:dyDescent="0.25">
      <c r="B75" s="376">
        <f>B74+$E$1</f>
        <v>43</v>
      </c>
      <c r="C75" s="399">
        <f t="shared" si="25"/>
        <v>38.619574735613085</v>
      </c>
      <c r="D75" s="400">
        <f>SUM($E$55:E75)</f>
        <v>65000</v>
      </c>
      <c r="E75" s="377">
        <v>2000</v>
      </c>
      <c r="F75" s="418">
        <f t="shared" si="11"/>
        <v>-77239.149471226177</v>
      </c>
      <c r="G75" s="379">
        <f>SUM($E$55:E75)*C75</f>
        <v>2510272.3578148508</v>
      </c>
      <c r="H75" s="378"/>
      <c r="I75" s="378">
        <f>-(-SUM($F$55:F75)-SUM($H$55:H75))</f>
        <v>-1456707.2784855079</v>
      </c>
      <c r="J75" s="408">
        <f t="shared" si="27"/>
        <v>-1621934.3015477268</v>
      </c>
      <c r="K75" s="401">
        <f t="shared" si="21"/>
        <v>0.41970150212961482</v>
      </c>
      <c r="L75" s="378">
        <f>SUM($E$26:E75)*C75-SUM($F$26:F75)</f>
        <v>3561353.4813750358</v>
      </c>
      <c r="M75" s="427">
        <f t="shared" si="22"/>
        <v>35.646907726323668</v>
      </c>
      <c r="N75" s="446">
        <f t="shared" si="28"/>
        <v>300483.37198488764</v>
      </c>
      <c r="O75" s="446"/>
      <c r="P75" s="379">
        <f>SUM($E$55:E75)*170/35/$B$1</f>
        <v>283552.35935450142</v>
      </c>
      <c r="Q75" s="402">
        <f t="shared" si="12"/>
        <v>0.11295681063122924</v>
      </c>
      <c r="R75" s="434">
        <f t="shared" si="26"/>
        <v>1053565.0793293428</v>
      </c>
      <c r="S75" s="438">
        <f t="shared" si="29"/>
        <v>119007.35115348059</v>
      </c>
      <c r="W75" s="394"/>
      <c r="X75" s="388"/>
    </row>
    <row r="76" spans="2:27" x14ac:dyDescent="0.25">
      <c r="B76" s="376">
        <f t="shared" ref="B76:B104" si="30">B75+$E$1</f>
        <v>44</v>
      </c>
      <c r="C76" s="399">
        <f t="shared" ref="C76:C107" si="31">B76/$B$1</f>
        <v>39.517704380627343</v>
      </c>
      <c r="D76" s="400">
        <f>SUM($E$55:E76)</f>
        <v>67000</v>
      </c>
      <c r="E76" s="377">
        <v>2000</v>
      </c>
      <c r="F76" s="418">
        <f t="shared" si="11"/>
        <v>-79035.408761254686</v>
      </c>
      <c r="G76" s="379">
        <f>SUM($E$55:E76)*C76</f>
        <v>2647686.1935020322</v>
      </c>
      <c r="H76" s="378"/>
      <c r="I76" s="378">
        <f>-(-SUM($F$55:F76)-SUM($H$55:H76))</f>
        <v>-1535742.6872467627</v>
      </c>
      <c r="J76" s="408">
        <f t="shared" si="27"/>
        <v>-1709934.3015477268</v>
      </c>
      <c r="K76" s="401">
        <f t="shared" si="21"/>
        <v>0.41996801168665987</v>
      </c>
      <c r="L76" s="378">
        <f>SUM($E$26:E76)*C76-SUM($F$26:F76)</f>
        <v>3767025.1700833011</v>
      </c>
      <c r="M76" s="427">
        <f t="shared" si="22"/>
        <v>36.459153551124238</v>
      </c>
      <c r="N76" s="446">
        <f t="shared" si="28"/>
        <v>317637.64820465993</v>
      </c>
      <c r="O76" s="446"/>
      <c r="P76" s="379">
        <f>SUM($E$55:E76)*170/35/$B$1</f>
        <v>292277.04733463988</v>
      </c>
      <c r="Q76" s="402">
        <f t="shared" si="12"/>
        <v>0.11038961038961037</v>
      </c>
      <c r="R76" s="434">
        <f t="shared" si="26"/>
        <v>1111943.5062552695</v>
      </c>
      <c r="S76" s="438">
        <f t="shared" si="29"/>
        <v>122747.01043077649</v>
      </c>
      <c r="T76" s="443" t="s">
        <v>213</v>
      </c>
      <c r="W76" s="394"/>
      <c r="X76" s="388"/>
    </row>
    <row r="77" spans="2:27" x14ac:dyDescent="0.25">
      <c r="B77" s="376">
        <f t="shared" si="30"/>
        <v>45</v>
      </c>
      <c r="C77" s="399">
        <f t="shared" si="31"/>
        <v>40.415834025641594</v>
      </c>
      <c r="D77" s="400">
        <f>SUM($E$55:E77)</f>
        <v>67000</v>
      </c>
      <c r="E77" s="377">
        <v>0</v>
      </c>
      <c r="F77" s="418">
        <f t="shared" si="11"/>
        <v>0</v>
      </c>
      <c r="G77" s="379">
        <f>SUM($E$55:E77)*C77</f>
        <v>2707860.8797179866</v>
      </c>
      <c r="H77" s="378"/>
      <c r="I77" s="378">
        <f>-(-SUM($F$55:F77)-SUM($H$55:H77))</f>
        <v>-1535742.6872467627</v>
      </c>
      <c r="J77" s="408">
        <f t="shared" si="27"/>
        <v>-1709934.3015477268</v>
      </c>
      <c r="K77" s="401">
        <f t="shared" si="21"/>
        <v>0.43285761142695617</v>
      </c>
      <c r="L77" s="378">
        <f>SUM($E$26:E77)*C77-SUM($F$26:F77)</f>
        <v>3816422.3005590849</v>
      </c>
      <c r="M77" s="427">
        <f t="shared" si="22"/>
        <v>36.459153551124238</v>
      </c>
      <c r="N77" s="446">
        <f t="shared" si="28"/>
        <v>359759.92855582794</v>
      </c>
      <c r="O77" s="446"/>
      <c r="P77" s="379">
        <f>SUM($E$55:E77)*170/35/$B$1</f>
        <v>292277.04733463988</v>
      </c>
      <c r="Q77" s="402">
        <f t="shared" si="12"/>
        <v>0.10793650793650796</v>
      </c>
      <c r="R77" s="434">
        <f t="shared" si="26"/>
        <v>1172118.1924712239</v>
      </c>
      <c r="S77" s="438">
        <f t="shared" si="29"/>
        <v>126514.34458419561</v>
      </c>
      <c r="T77" s="375">
        <f t="shared" ref="T77:T88" si="32">I77/P77</f>
        <v>-5.2544074235443761</v>
      </c>
      <c r="W77" s="394"/>
      <c r="X77" s="388"/>
    </row>
    <row r="78" spans="2:27" x14ac:dyDescent="0.25">
      <c r="B78" s="376">
        <f t="shared" si="30"/>
        <v>46</v>
      </c>
      <c r="C78" s="399">
        <f t="shared" si="31"/>
        <v>41.313963670655852</v>
      </c>
      <c r="D78" s="400">
        <f>SUM($E$55:E78)</f>
        <v>67000</v>
      </c>
      <c r="E78" s="377">
        <v>0</v>
      </c>
      <c r="F78" s="418">
        <f t="shared" si="11"/>
        <v>0</v>
      </c>
      <c r="G78" s="379">
        <f>SUM($E$55:E78)*C78</f>
        <v>2768035.5659339419</v>
      </c>
      <c r="H78" s="378"/>
      <c r="I78" s="378">
        <f>-(-SUM($F$55:F78)-SUM($H$55:H78))</f>
        <v>-1535742.6872467627</v>
      </c>
      <c r="J78" s="408">
        <f t="shared" si="27"/>
        <v>-1709934.3015477268</v>
      </c>
      <c r="K78" s="401">
        <f t="shared" si="21"/>
        <v>0.44518679378723974</v>
      </c>
      <c r="L78" s="378">
        <f>SUM($E$26:E78)*C78-SUM($F$26:F78)</f>
        <v>3865819.4310348686</v>
      </c>
      <c r="M78" s="427">
        <f t="shared" si="22"/>
        <v>36.459153551124238</v>
      </c>
      <c r="N78" s="446">
        <f t="shared" si="28"/>
        <v>401882.20890699665</v>
      </c>
      <c r="O78" s="446"/>
      <c r="P78" s="379">
        <f>SUM($E$55:E78)*170/35/$B$1</f>
        <v>292277.04733463988</v>
      </c>
      <c r="Q78" s="402">
        <f t="shared" si="12"/>
        <v>0.10559006211180126</v>
      </c>
      <c r="R78" s="434">
        <f t="shared" si="26"/>
        <v>1232292.8786871792</v>
      </c>
      <c r="S78" s="438">
        <f t="shared" si="29"/>
        <v>130117.88160050963</v>
      </c>
      <c r="T78" s="375">
        <f t="shared" si="32"/>
        <v>-5.2544074235443761</v>
      </c>
      <c r="W78" s="394"/>
      <c r="X78" s="388"/>
    </row>
    <row r="79" spans="2:27" x14ac:dyDescent="0.25">
      <c r="B79" s="376">
        <f t="shared" si="30"/>
        <v>47</v>
      </c>
      <c r="C79" s="399">
        <f t="shared" si="31"/>
        <v>42.21209331567011</v>
      </c>
      <c r="D79" s="400">
        <f>SUM($E$55:E79)</f>
        <v>67000</v>
      </c>
      <c r="E79" s="377">
        <v>0</v>
      </c>
      <c r="F79" s="418">
        <f t="shared" si="11"/>
        <v>0</v>
      </c>
      <c r="G79" s="379">
        <f>SUM($E$55:E79)*C79</f>
        <v>2828210.2521498972</v>
      </c>
      <c r="H79" s="378"/>
      <c r="I79" s="378">
        <f>-(-SUM($F$55:F79)-SUM($H$55:H79))</f>
        <v>-1535742.6872467627</v>
      </c>
      <c r="J79" s="408">
        <f t="shared" si="27"/>
        <v>-1709934.3015477268</v>
      </c>
      <c r="K79" s="401">
        <f t="shared" si="21"/>
        <v>0.45699133008963888</v>
      </c>
      <c r="L79" s="378">
        <f>SUM($E$26:E79)*C79-SUM($F$26:F79)</f>
        <v>3915216.5615106532</v>
      </c>
      <c r="M79" s="427">
        <f t="shared" si="22"/>
        <v>36.459153551124238</v>
      </c>
      <c r="N79" s="446">
        <f t="shared" si="28"/>
        <v>444004.48925816535</v>
      </c>
      <c r="O79" s="446"/>
      <c r="P79" s="379">
        <f>SUM($E$55:E79)*170/35/$B$1</f>
        <v>292277.04733463988</v>
      </c>
      <c r="Q79" s="402">
        <f t="shared" si="12"/>
        <v>0.10334346504559272</v>
      </c>
      <c r="R79" s="434">
        <f t="shared" si="26"/>
        <v>1292467.5649031345</v>
      </c>
      <c r="S79" s="438">
        <f t="shared" si="29"/>
        <v>133568.07661612943</v>
      </c>
      <c r="T79" s="375">
        <f t="shared" si="32"/>
        <v>-5.2544074235443761</v>
      </c>
      <c r="W79" s="394"/>
      <c r="X79" s="388"/>
    </row>
    <row r="80" spans="2:27" x14ac:dyDescent="0.25">
      <c r="B80" s="376">
        <f t="shared" si="30"/>
        <v>48</v>
      </c>
      <c r="C80" s="399">
        <f t="shared" si="31"/>
        <v>43.110222960684368</v>
      </c>
      <c r="D80" s="400">
        <f>SUM($E$55:E80)</f>
        <v>67000</v>
      </c>
      <c r="E80" s="377">
        <v>0</v>
      </c>
      <c r="F80" s="418">
        <f t="shared" si="11"/>
        <v>0</v>
      </c>
      <c r="G80" s="379">
        <f>SUM($E$55:E80)*C80</f>
        <v>2888384.9383658525</v>
      </c>
      <c r="H80" s="378"/>
      <c r="I80" s="378">
        <f>-(-SUM($F$55:F80)-SUM($H$55:H80))</f>
        <v>-1535742.6872467627</v>
      </c>
      <c r="J80" s="408">
        <f t="shared" si="27"/>
        <v>-1709934.3015477268</v>
      </c>
      <c r="K80" s="401">
        <f t="shared" si="21"/>
        <v>0.46830401071277139</v>
      </c>
      <c r="L80" s="378">
        <f>SUM($E$26:E80)*C80-SUM($F$26:F80)</f>
        <v>3964613.691986437</v>
      </c>
      <c r="M80" s="427">
        <f t="shared" si="22"/>
        <v>36.459153551124238</v>
      </c>
      <c r="N80" s="446">
        <f t="shared" si="28"/>
        <v>486126.76960933406</v>
      </c>
      <c r="O80" s="446"/>
      <c r="P80" s="379">
        <f>SUM($E$55:E80)*170/35/$B$1</f>
        <v>292277.04733463988</v>
      </c>
      <c r="Q80" s="402">
        <f t="shared" si="12"/>
        <v>0.10119047619047621</v>
      </c>
      <c r="R80" s="434">
        <f t="shared" si="26"/>
        <v>1352642.2511190898</v>
      </c>
      <c r="S80" s="438">
        <f t="shared" si="29"/>
        <v>136874.51350609839</v>
      </c>
      <c r="T80" s="375">
        <f t="shared" si="32"/>
        <v>-5.2544074235443761</v>
      </c>
      <c r="W80" s="394"/>
      <c r="X80" s="388"/>
    </row>
    <row r="81" spans="2:24" x14ac:dyDescent="0.25">
      <c r="B81" s="376">
        <f t="shared" si="30"/>
        <v>49</v>
      </c>
      <c r="C81" s="399">
        <f t="shared" si="31"/>
        <v>44.008352605698626</v>
      </c>
      <c r="D81" s="400">
        <f>SUM($E$55:E81)</f>
        <v>67000</v>
      </c>
      <c r="E81" s="377">
        <v>0</v>
      </c>
      <c r="F81" s="418">
        <f t="shared" si="11"/>
        <v>0</v>
      </c>
      <c r="G81" s="379">
        <f>SUM($E$55:E81)*C81</f>
        <v>2948559.6245818078</v>
      </c>
      <c r="H81" s="378"/>
      <c r="I81" s="378">
        <f>-(-SUM($F$55:F81)-SUM($H$55:H81))</f>
        <v>-1535742.6872467627</v>
      </c>
      <c r="J81" s="408">
        <f t="shared" si="27"/>
        <v>-1709934.3015477268</v>
      </c>
      <c r="K81" s="401">
        <f t="shared" si="21"/>
        <v>0.47915494926965363</v>
      </c>
      <c r="L81" s="378">
        <f>SUM($E$26:E81)*C81-SUM($F$26:F81)</f>
        <v>4014010.8224622216</v>
      </c>
      <c r="M81" s="427">
        <f t="shared" si="22"/>
        <v>36.459153551124238</v>
      </c>
      <c r="N81" s="446">
        <f t="shared" si="28"/>
        <v>528249.04996050277</v>
      </c>
      <c r="O81" s="446"/>
      <c r="P81" s="379">
        <f>SUM($E$55:E81)*170/35/$B$1</f>
        <v>292277.04733463988</v>
      </c>
      <c r="Q81" s="402">
        <f t="shared" si="12"/>
        <v>9.9125364431486895E-2</v>
      </c>
      <c r="R81" s="434">
        <f t="shared" si="26"/>
        <v>1412816.9373350451</v>
      </c>
      <c r="S81" s="438">
        <f t="shared" ref="S81:S88" si="33">(R81+W81)*Q81</f>
        <v>140045.99378831353</v>
      </c>
      <c r="T81" s="375">
        <f t="shared" si="32"/>
        <v>-5.2544074235443761</v>
      </c>
      <c r="W81" s="394"/>
      <c r="X81" s="388"/>
    </row>
    <row r="82" spans="2:24" x14ac:dyDescent="0.25">
      <c r="B82" s="376">
        <f t="shared" si="30"/>
        <v>50</v>
      </c>
      <c r="C82" s="399">
        <f t="shared" si="31"/>
        <v>44.906482250712884</v>
      </c>
      <c r="D82" s="400">
        <f>SUM($E$55:E82)</f>
        <v>67000</v>
      </c>
      <c r="E82" s="377">
        <v>0</v>
      </c>
      <c r="F82" s="418">
        <f t="shared" si="11"/>
        <v>0</v>
      </c>
      <c r="G82" s="379">
        <f>SUM($E$55:E82)*C82</f>
        <v>3008734.3107977631</v>
      </c>
      <c r="H82" s="378"/>
      <c r="I82" s="378">
        <f>-(-SUM($F$55:F82)-SUM($H$55:H82))</f>
        <v>-1535742.6872467627</v>
      </c>
      <c r="J82" s="408">
        <f t="shared" si="27"/>
        <v>-1709934.3015477268</v>
      </c>
      <c r="K82" s="401">
        <f t="shared" si="21"/>
        <v>0.48957185028426059</v>
      </c>
      <c r="L82" s="378">
        <f>SUM($E$26:E82)*C82-SUM($F$26:F82)</f>
        <v>4063407.9529380053</v>
      </c>
      <c r="M82" s="427">
        <f t="shared" si="22"/>
        <v>36.459153551124238</v>
      </c>
      <c r="N82" s="446">
        <f t="shared" si="28"/>
        <v>570371.33031167148</v>
      </c>
      <c r="O82" s="446"/>
      <c r="P82" s="379">
        <f>SUM($E$55:E82)*170/35/$B$1</f>
        <v>292277.04733463988</v>
      </c>
      <c r="Q82" s="402">
        <f t="shared" si="12"/>
        <v>9.7142857142857156E-2</v>
      </c>
      <c r="R82" s="434">
        <f t="shared" si="26"/>
        <v>1472991.6235510004</v>
      </c>
      <c r="S82" s="438">
        <f t="shared" si="33"/>
        <v>143090.61485924004</v>
      </c>
      <c r="T82" s="375">
        <f t="shared" si="32"/>
        <v>-5.2544074235443761</v>
      </c>
      <c r="W82" s="394"/>
      <c r="X82" s="388"/>
    </row>
    <row r="83" spans="2:24" x14ac:dyDescent="0.25">
      <c r="B83" s="376">
        <f t="shared" si="30"/>
        <v>51</v>
      </c>
      <c r="C83" s="399">
        <f t="shared" si="31"/>
        <v>45.804611895727142</v>
      </c>
      <c r="D83" s="400">
        <f>SUM($E$55:E83)</f>
        <v>67000</v>
      </c>
      <c r="E83" s="377">
        <v>0</v>
      </c>
      <c r="F83" s="418">
        <f t="shared" si="11"/>
        <v>0</v>
      </c>
      <c r="G83" s="379">
        <f>SUM($E$55:E83)*C83</f>
        <v>3068908.9970137184</v>
      </c>
      <c r="H83" s="378"/>
      <c r="I83" s="378">
        <f>-(-SUM($F$55:F83)-SUM($H$55:H83))</f>
        <v>-1535742.6872467627</v>
      </c>
      <c r="J83" s="408">
        <f t="shared" si="27"/>
        <v>-1709934.3015477268</v>
      </c>
      <c r="K83" s="401">
        <f t="shared" si="21"/>
        <v>0.49958024537672607</v>
      </c>
      <c r="L83" s="378">
        <f>SUM($E$26:E83)*C83-SUM($F$26:F83)</f>
        <v>4112805.08341379</v>
      </c>
      <c r="M83" s="427">
        <f t="shared" si="22"/>
        <v>36.459153551124238</v>
      </c>
      <c r="N83" s="446">
        <f t="shared" si="28"/>
        <v>612493.61066284019</v>
      </c>
      <c r="O83" s="446"/>
      <c r="P83" s="379">
        <f>SUM($E$55:E83)*170/35/$B$1</f>
        <v>292277.04733463988</v>
      </c>
      <c r="Q83" s="402">
        <f t="shared" si="12"/>
        <v>9.5238095238095247E-2</v>
      </c>
      <c r="R83" s="434">
        <f t="shared" si="26"/>
        <v>1533166.3097669557</v>
      </c>
      <c r="S83" s="438">
        <f t="shared" si="33"/>
        <v>146015.83902542436</v>
      </c>
      <c r="T83" s="375">
        <f t="shared" si="32"/>
        <v>-5.2544074235443761</v>
      </c>
      <c r="W83" s="394"/>
      <c r="X83" s="388"/>
    </row>
    <row r="84" spans="2:24" x14ac:dyDescent="0.25">
      <c r="B84" s="376">
        <f t="shared" si="30"/>
        <v>52</v>
      </c>
      <c r="C84" s="399">
        <f t="shared" si="31"/>
        <v>46.7027415407414</v>
      </c>
      <c r="D84" s="400">
        <f>SUM($E$55:E84)</f>
        <v>67000</v>
      </c>
      <c r="E84" s="377">
        <v>0</v>
      </c>
      <c r="F84" s="418">
        <f t="shared" si="11"/>
        <v>0</v>
      </c>
      <c r="G84" s="379">
        <f>SUM($E$55:E84)*C84</f>
        <v>3129083.6832296737</v>
      </c>
      <c r="H84" s="378"/>
      <c r="I84" s="378">
        <f>-(-SUM($F$55:F84)-SUM($H$55:H84))</f>
        <v>-1535742.6872467627</v>
      </c>
      <c r="J84" s="408">
        <f t="shared" si="27"/>
        <v>-1709934.3015477268</v>
      </c>
      <c r="K84" s="401">
        <f t="shared" si="21"/>
        <v>0.50920370219640443</v>
      </c>
      <c r="L84" s="378">
        <f>SUM($E$26:E84)*C84-SUM($F$26:F84)</f>
        <v>4162202.2138895737</v>
      </c>
      <c r="M84" s="427">
        <f t="shared" si="22"/>
        <v>36.459153551124238</v>
      </c>
      <c r="N84" s="446">
        <f t="shared" si="28"/>
        <v>654615.8910140089</v>
      </c>
      <c r="O84" s="446"/>
      <c r="P84" s="379">
        <f>SUM($E$55:E84)*170/35/$B$1</f>
        <v>292277.04733463988</v>
      </c>
      <c r="Q84" s="402">
        <f t="shared" si="12"/>
        <v>9.3406593406593422E-2</v>
      </c>
      <c r="R84" s="434">
        <f t="shared" si="26"/>
        <v>1593340.995982911</v>
      </c>
      <c r="S84" s="438">
        <f t="shared" si="33"/>
        <v>148828.55456983237</v>
      </c>
      <c r="T84" s="375">
        <f t="shared" si="32"/>
        <v>-5.2544074235443761</v>
      </c>
      <c r="W84" s="394"/>
      <c r="X84" s="388"/>
    </row>
    <row r="85" spans="2:24" x14ac:dyDescent="0.25">
      <c r="B85" s="376">
        <f t="shared" si="30"/>
        <v>53</v>
      </c>
      <c r="C85" s="399">
        <f t="shared" si="31"/>
        <v>47.600871185755658</v>
      </c>
      <c r="D85" s="400">
        <f>SUM($E$55:E85)</f>
        <v>67000</v>
      </c>
      <c r="E85" s="377">
        <v>0</v>
      </c>
      <c r="F85" s="418">
        <f t="shared" si="11"/>
        <v>0</v>
      </c>
      <c r="G85" s="379">
        <f>SUM($E$55:E85)*C85</f>
        <v>3189258.369445629</v>
      </c>
      <c r="H85" s="378"/>
      <c r="I85" s="378">
        <f>-(-SUM($F$55:F85)-SUM($H$55:H85))</f>
        <v>-1535742.6872467627</v>
      </c>
      <c r="J85" s="408">
        <f t="shared" si="27"/>
        <v>-1709934.3015477268</v>
      </c>
      <c r="K85" s="401">
        <f t="shared" si="21"/>
        <v>0.51846400970213258</v>
      </c>
      <c r="L85" s="378">
        <f>SUM($E$26:E85)*C85-SUM($F$26:F85)</f>
        <v>4211599.3443653584</v>
      </c>
      <c r="M85" s="427">
        <f t="shared" si="22"/>
        <v>36.459153551124238</v>
      </c>
      <c r="N85" s="446">
        <f t="shared" si="28"/>
        <v>696738.17136517761</v>
      </c>
      <c r="O85" s="446"/>
      <c r="P85" s="379">
        <f>SUM($E$55:E85)*170/35/$B$1</f>
        <v>292277.04733463988</v>
      </c>
      <c r="Q85" s="402">
        <f t="shared" si="12"/>
        <v>9.1644204851752037E-2</v>
      </c>
      <c r="R85" s="434">
        <f t="shared" si="26"/>
        <v>1653515.6821988663</v>
      </c>
      <c r="S85" s="438">
        <f t="shared" si="33"/>
        <v>151535.12990501741</v>
      </c>
      <c r="T85" s="375">
        <f t="shared" si="32"/>
        <v>-5.2544074235443761</v>
      </c>
      <c r="W85" s="394"/>
      <c r="X85" s="388"/>
    </row>
    <row r="86" spans="2:24" x14ac:dyDescent="0.25">
      <c r="B86" s="376">
        <f t="shared" si="30"/>
        <v>54</v>
      </c>
      <c r="C86" s="399">
        <f t="shared" si="31"/>
        <v>48.499000830769916</v>
      </c>
      <c r="D86" s="400">
        <f>SUM($E$55:E86)</f>
        <v>67000</v>
      </c>
      <c r="E86" s="377">
        <v>0</v>
      </c>
      <c r="F86" s="418">
        <f t="shared" si="11"/>
        <v>0</v>
      </c>
      <c r="G86" s="379">
        <f>SUM($E$55:E86)*C86</f>
        <v>3249433.0556615843</v>
      </c>
      <c r="H86" s="378"/>
      <c r="I86" s="378">
        <f>-(-SUM($F$55:F86)-SUM($H$55:H86))</f>
        <v>-1535742.6872467627</v>
      </c>
      <c r="J86" s="408">
        <f t="shared" si="27"/>
        <v>-1709934.3015477268</v>
      </c>
      <c r="K86" s="401">
        <f t="shared" si="21"/>
        <v>0.52738134285579685</v>
      </c>
      <c r="L86" s="378">
        <f>SUM($E$26:E86)*C86-SUM($F$26:F86)</f>
        <v>4260996.4748411421</v>
      </c>
      <c r="M86" s="427">
        <f t="shared" si="22"/>
        <v>36.459153551124238</v>
      </c>
      <c r="N86" s="446"/>
      <c r="O86" s="446"/>
      <c r="P86" s="379">
        <f>SUM($E$55:E86)*170/35/$B$1</f>
        <v>292277.04733463988</v>
      </c>
      <c r="Q86" s="402">
        <f t="shared" ref="Q86:Q107" si="34">P86/G86</f>
        <v>8.9947089947089956E-2</v>
      </c>
      <c r="R86" s="434">
        <f t="shared" si="26"/>
        <v>1713690.3684148216</v>
      </c>
      <c r="S86" s="438">
        <f t="shared" si="33"/>
        <v>154141.46170926967</v>
      </c>
      <c r="T86" s="375">
        <f t="shared" si="32"/>
        <v>-5.2544074235443761</v>
      </c>
      <c r="W86" s="394"/>
      <c r="X86" s="388"/>
    </row>
    <row r="87" spans="2:24" x14ac:dyDescent="0.25">
      <c r="B87" s="376">
        <f t="shared" si="30"/>
        <v>55</v>
      </c>
      <c r="C87" s="399">
        <f t="shared" si="31"/>
        <v>49.397130475784174</v>
      </c>
      <c r="D87" s="400">
        <f>SUM($E$55:E87)</f>
        <v>67000</v>
      </c>
      <c r="E87" s="377">
        <v>0</v>
      </c>
      <c r="F87" s="418">
        <f t="shared" si="11"/>
        <v>0</v>
      </c>
      <c r="G87" s="379">
        <f>SUM($E$55:E87)*C87</f>
        <v>3309607.7418775395</v>
      </c>
      <c r="H87" s="378"/>
      <c r="I87" s="378">
        <f>-(-SUM($F$55:F87)-SUM($H$55:H87))</f>
        <v>-1535742.6872467627</v>
      </c>
      <c r="J87" s="408">
        <f t="shared" si="27"/>
        <v>-1709934.3015477268</v>
      </c>
      <c r="K87" s="401">
        <f t="shared" si="21"/>
        <v>0.53597440934932783</v>
      </c>
      <c r="L87" s="378">
        <f>SUM($E$26:E87)*C87-SUM($F$26:F87)</f>
        <v>4310393.6053169267</v>
      </c>
      <c r="M87" s="427">
        <f t="shared" si="22"/>
        <v>36.459153551124238</v>
      </c>
      <c r="N87" s="446"/>
      <c r="O87" s="446"/>
      <c r="P87" s="379">
        <f>SUM($E$55:E87)*170/35/$B$1</f>
        <v>292277.04733463988</v>
      </c>
      <c r="Q87" s="402">
        <f t="shared" si="34"/>
        <v>8.8311688311688313E-2</v>
      </c>
      <c r="R87" s="434">
        <f t="shared" si="26"/>
        <v>1773865.0546307769</v>
      </c>
      <c r="S87" s="438">
        <f t="shared" si="33"/>
        <v>156653.01781154913</v>
      </c>
      <c r="T87" s="375">
        <f t="shared" si="32"/>
        <v>-5.2544074235443761</v>
      </c>
      <c r="W87" s="394"/>
      <c r="X87" s="388"/>
    </row>
    <row r="88" spans="2:24" x14ac:dyDescent="0.25">
      <c r="B88" s="376">
        <f t="shared" si="30"/>
        <v>56</v>
      </c>
      <c r="C88" s="399">
        <f t="shared" si="31"/>
        <v>50.295260120798432</v>
      </c>
      <c r="D88" s="400">
        <f>SUM($E$55:E88)</f>
        <v>67000</v>
      </c>
      <c r="E88" s="377">
        <v>0</v>
      </c>
      <c r="F88" s="418">
        <f t="shared" si="11"/>
        <v>0</v>
      </c>
      <c r="G88" s="379">
        <f>SUM($E$55:E88)*C88</f>
        <v>3369782.4280934948</v>
      </c>
      <c r="H88" s="378"/>
      <c r="I88" s="378">
        <f>-(-SUM($F$55:F88)-SUM($H$55:H88))</f>
        <v>-1535742.6872467627</v>
      </c>
      <c r="J88" s="408">
        <f t="shared" si="27"/>
        <v>-1709934.3015477268</v>
      </c>
      <c r="K88" s="401">
        <f t="shared" si="21"/>
        <v>0.54426058061094695</v>
      </c>
      <c r="L88" s="378">
        <f>SUM($E$26:E88)*C88-SUM($F$26:F88)</f>
        <v>4359790.7357927114</v>
      </c>
      <c r="M88" s="427">
        <f t="shared" ref="M88:M107" si="35">I88/($Q$1*D88-D88)*$B$1</f>
        <v>36.459153551124238</v>
      </c>
      <c r="N88" s="446"/>
      <c r="O88" s="446"/>
      <c r="P88" s="379">
        <f>SUM($E$55:E88)*170/35/$B$1</f>
        <v>292277.04733463988</v>
      </c>
      <c r="Q88" s="402">
        <f t="shared" si="34"/>
        <v>8.673469387755102E-2</v>
      </c>
      <c r="R88" s="434">
        <f t="shared" si="26"/>
        <v>1834039.7408467322</v>
      </c>
      <c r="S88" s="438">
        <f t="shared" si="33"/>
        <v>159074.87548160431</v>
      </c>
      <c r="T88" s="375">
        <f t="shared" si="32"/>
        <v>-5.2544074235443761</v>
      </c>
      <c r="W88" s="394"/>
      <c r="X88" s="394"/>
    </row>
    <row r="89" spans="2:24" x14ac:dyDescent="0.25">
      <c r="B89" s="376">
        <f t="shared" si="30"/>
        <v>57</v>
      </c>
      <c r="C89" s="399">
        <f t="shared" si="31"/>
        <v>51.19338976581269</v>
      </c>
      <c r="D89" s="400">
        <f>SUM($E$55:E89)</f>
        <v>67000</v>
      </c>
      <c r="E89" s="377">
        <v>0</v>
      </c>
      <c r="F89" s="418">
        <f t="shared" si="11"/>
        <v>0</v>
      </c>
      <c r="G89" s="379">
        <f>SUM($E$55:E89)*C89</f>
        <v>3429957.1143094501</v>
      </c>
      <c r="H89" s="378"/>
      <c r="I89" s="378">
        <f>-(-SUM($F$55:F89)-SUM($H$55:H89))</f>
        <v>-1535742.6872467627</v>
      </c>
      <c r="J89" s="408">
        <f t="shared" si="27"/>
        <v>-1709934.3015477268</v>
      </c>
      <c r="K89" s="401">
        <f t="shared" si="21"/>
        <v>0.55225600902128125</v>
      </c>
      <c r="L89" s="378">
        <f>SUM($E$26:E89)*C89-SUM($F$26:F89)</f>
        <v>4409187.8662684951</v>
      </c>
      <c r="M89" s="427">
        <f t="shared" si="35"/>
        <v>36.459153551124238</v>
      </c>
      <c r="N89" s="446"/>
      <c r="O89" s="446"/>
      <c r="P89" s="379">
        <f>SUM($E$55:E89)*170/35/$B$1</f>
        <v>292277.04733463988</v>
      </c>
      <c r="Q89" s="402">
        <f t="shared" si="34"/>
        <v>8.5213032581453643E-2</v>
      </c>
      <c r="R89" s="434">
        <f t="shared" si="26"/>
        <v>1894214.4270626875</v>
      </c>
      <c r="S89" s="438"/>
    </row>
    <row r="90" spans="2:24" x14ac:dyDescent="0.25">
      <c r="B90" s="376">
        <f t="shared" si="30"/>
        <v>58</v>
      </c>
      <c r="C90" s="399">
        <f t="shared" si="31"/>
        <v>52.091519410826947</v>
      </c>
      <c r="D90" s="400">
        <f>SUM($E$55:E90)</f>
        <v>67000</v>
      </c>
      <c r="E90" s="377">
        <v>0</v>
      </c>
      <c r="F90" s="418">
        <f t="shared" si="11"/>
        <v>0</v>
      </c>
      <c r="G90" s="379">
        <f>SUM($E$55:E90)*C90</f>
        <v>3490131.8005254054</v>
      </c>
      <c r="H90" s="378"/>
      <c r="I90" s="378">
        <f>-(-SUM($F$55:F90)-SUM($H$55:H90))</f>
        <v>-1535742.6872467627</v>
      </c>
      <c r="J90" s="408">
        <f t="shared" si="27"/>
        <v>-1709934.3015477268</v>
      </c>
      <c r="K90" s="401">
        <f t="shared" si="21"/>
        <v>0.55997573300367298</v>
      </c>
      <c r="L90" s="378">
        <f>SUM($E$26:E90)*C90-SUM($F$26:F90)</f>
        <v>4458584.9967442797</v>
      </c>
      <c r="M90" s="427">
        <f t="shared" si="35"/>
        <v>36.459153551124238</v>
      </c>
      <c r="N90" s="446"/>
      <c r="O90" s="446"/>
      <c r="P90" s="379">
        <f>SUM($E$55:E90)*170/35/$B$1</f>
        <v>292277.04733463988</v>
      </c>
      <c r="Q90" s="402">
        <f t="shared" si="34"/>
        <v>8.3743842364532028E-2</v>
      </c>
      <c r="R90" s="434">
        <f t="shared" si="26"/>
        <v>1954389.1132786428</v>
      </c>
      <c r="S90" s="438"/>
    </row>
    <row r="91" spans="2:24" x14ac:dyDescent="0.25">
      <c r="B91" s="376">
        <f t="shared" si="30"/>
        <v>59</v>
      </c>
      <c r="C91" s="399">
        <f t="shared" si="31"/>
        <v>52.989649055841205</v>
      </c>
      <c r="D91" s="400">
        <f>SUM($E$55:E91)</f>
        <v>67000</v>
      </c>
      <c r="E91" s="377">
        <v>0</v>
      </c>
      <c r="F91" s="418">
        <f t="shared" si="11"/>
        <v>0</v>
      </c>
      <c r="G91" s="379">
        <f>SUM($E$55:E91)*C91</f>
        <v>3550306.4867413607</v>
      </c>
      <c r="H91" s="378"/>
      <c r="I91" s="378">
        <f>-(-SUM($F$55:F91)-SUM($H$55:H91))</f>
        <v>-1535742.6872467627</v>
      </c>
      <c r="J91" s="408">
        <f t="shared" si="27"/>
        <v>-1709934.3015477268</v>
      </c>
      <c r="K91" s="401">
        <f t="shared" si="21"/>
        <v>0.56743377142733953</v>
      </c>
      <c r="L91" s="378">
        <f>SUM($E$26:E91)*C91-SUM($F$26:F91)</f>
        <v>4507982.1272200635</v>
      </c>
      <c r="M91" s="427">
        <f t="shared" si="35"/>
        <v>36.459153551124238</v>
      </c>
      <c r="N91" s="446"/>
      <c r="O91" s="446"/>
      <c r="P91" s="379">
        <f>SUM($E$55:E91)*170/35/$B$1</f>
        <v>292277.04733463988</v>
      </c>
      <c r="Q91" s="402">
        <f t="shared" si="34"/>
        <v>8.2324455205811137E-2</v>
      </c>
      <c r="R91" s="434">
        <f t="shared" si="26"/>
        <v>2014563.7994945981</v>
      </c>
      <c r="S91" s="391"/>
    </row>
    <row r="92" spans="2:24" x14ac:dyDescent="0.25">
      <c r="B92" s="376">
        <f t="shared" si="30"/>
        <v>60</v>
      </c>
      <c r="C92" s="399">
        <f t="shared" si="31"/>
        <v>53.887778700855463</v>
      </c>
      <c r="D92" s="400">
        <f>SUM($E$55:E92)</f>
        <v>67000</v>
      </c>
      <c r="E92" s="377">
        <v>0</v>
      </c>
      <c r="F92" s="418">
        <f t="shared" si="11"/>
        <v>0</v>
      </c>
      <c r="G92" s="379">
        <f>SUM($E$55:E92)*C92</f>
        <v>3610481.172957316</v>
      </c>
      <c r="H92" s="378"/>
      <c r="I92" s="378">
        <f>-(-SUM($F$55:F92)-SUM($H$55:H92))</f>
        <v>-1535742.6872467627</v>
      </c>
      <c r="J92" s="408">
        <f t="shared" si="27"/>
        <v>-1709934.3015477268</v>
      </c>
      <c r="K92" s="401">
        <f t="shared" si="21"/>
        <v>0.57464320857021722</v>
      </c>
      <c r="L92" s="378">
        <f>SUM($E$26:E92)*C92-SUM($F$26:F92)</f>
        <v>4557379.2576958481</v>
      </c>
      <c r="M92" s="427">
        <f t="shared" si="35"/>
        <v>36.459153551124238</v>
      </c>
      <c r="N92" s="446"/>
      <c r="O92" s="446"/>
      <c r="P92" s="379">
        <f>SUM($E$55:E92)*170/35/$B$1</f>
        <v>292277.04733463988</v>
      </c>
      <c r="Q92" s="402">
        <f t="shared" si="34"/>
        <v>8.0952380952380956E-2</v>
      </c>
      <c r="R92" s="434">
        <f t="shared" si="26"/>
        <v>2074738.4857105534</v>
      </c>
      <c r="S92" s="391"/>
    </row>
    <row r="93" spans="2:24" x14ac:dyDescent="0.25">
      <c r="B93" s="376">
        <f t="shared" si="30"/>
        <v>61</v>
      </c>
      <c r="C93" s="399">
        <f t="shared" si="31"/>
        <v>54.785908345869721</v>
      </c>
      <c r="D93" s="400">
        <f>SUM($E$55:E93)</f>
        <v>67000</v>
      </c>
      <c r="E93" s="377">
        <v>0</v>
      </c>
      <c r="F93" s="418">
        <f t="shared" si="11"/>
        <v>0</v>
      </c>
      <c r="G93" s="379">
        <f>SUM($E$55:E93)*C93</f>
        <v>3670655.8591732713</v>
      </c>
      <c r="H93" s="378"/>
      <c r="I93" s="378">
        <f>-(-SUM($F$55:F93)-SUM($H$55:H93))</f>
        <v>-1535742.6872467627</v>
      </c>
      <c r="J93" s="408">
        <f t="shared" si="27"/>
        <v>-1709934.3015477268</v>
      </c>
      <c r="K93" s="401">
        <f t="shared" si="21"/>
        <v>0.58161627072480382</v>
      </c>
      <c r="L93" s="378">
        <f>SUM($E$26:E93)*C93-SUM($F$26:F93)</f>
        <v>4606776.3881716318</v>
      </c>
      <c r="M93" s="427">
        <f t="shared" si="35"/>
        <v>36.459153551124238</v>
      </c>
      <c r="N93" s="446"/>
      <c r="O93" s="446"/>
      <c r="P93" s="379">
        <f>SUM($E$55:E93)*170/35/$B$1</f>
        <v>292277.04733463988</v>
      </c>
      <c r="Q93" s="402">
        <f t="shared" si="34"/>
        <v>7.9625292740046844E-2</v>
      </c>
      <c r="R93" s="434">
        <f t="shared" si="26"/>
        <v>2134913.1719265087</v>
      </c>
      <c r="S93" s="391"/>
    </row>
    <row r="94" spans="2:24" x14ac:dyDescent="0.25">
      <c r="B94" s="376">
        <f t="shared" si="30"/>
        <v>62</v>
      </c>
      <c r="C94" s="399">
        <f t="shared" si="31"/>
        <v>55.684037990883979</v>
      </c>
      <c r="D94" s="400">
        <f>SUM($E$55:E94)</f>
        <v>67000</v>
      </c>
      <c r="E94" s="377">
        <v>0</v>
      </c>
      <c r="F94" s="418">
        <f t="shared" si="11"/>
        <v>0</v>
      </c>
      <c r="G94" s="379">
        <f>SUM($E$55:E94)*C94</f>
        <v>3730830.5453892266</v>
      </c>
      <c r="H94" s="378"/>
      <c r="I94" s="378">
        <f>-(-SUM($F$55:F94)-SUM($H$55:H94))</f>
        <v>-1535742.6872467627</v>
      </c>
      <c r="J94" s="408">
        <f t="shared" si="27"/>
        <v>-1709934.3015477268</v>
      </c>
      <c r="K94" s="401">
        <f t="shared" si="21"/>
        <v>0.58836439539053276</v>
      </c>
      <c r="L94" s="378">
        <f>SUM($E$26:E94)*C94-SUM($F$26:F94)</f>
        <v>4656173.5186474165</v>
      </c>
      <c r="M94" s="427">
        <f t="shared" si="35"/>
        <v>36.459153551124238</v>
      </c>
      <c r="N94" s="446"/>
      <c r="O94" s="446"/>
      <c r="P94" s="379">
        <f>SUM($E$55:E94)*170/35/$B$1</f>
        <v>292277.04733463988</v>
      </c>
      <c r="Q94" s="402">
        <f t="shared" si="34"/>
        <v>7.83410138248848E-2</v>
      </c>
      <c r="R94" s="434">
        <f t="shared" si="26"/>
        <v>2195087.858142464</v>
      </c>
      <c r="S94" s="391"/>
    </row>
    <row r="95" spans="2:24" x14ac:dyDescent="0.25">
      <c r="B95" s="376">
        <f t="shared" si="30"/>
        <v>63</v>
      </c>
      <c r="C95" s="399">
        <f t="shared" si="31"/>
        <v>56.582167635898237</v>
      </c>
      <c r="D95" s="400">
        <f>SUM($E$55:E95)</f>
        <v>67000</v>
      </c>
      <c r="E95" s="377">
        <v>0</v>
      </c>
      <c r="F95" s="418">
        <f t="shared" si="11"/>
        <v>0</v>
      </c>
      <c r="G95" s="379">
        <f>SUM($E$55:E95)*C95</f>
        <v>3791005.2316051819</v>
      </c>
      <c r="H95" s="378"/>
      <c r="I95" s="378">
        <f>-(-SUM($F$55:F95)-SUM($H$55:H95))</f>
        <v>-1535742.6872467627</v>
      </c>
      <c r="J95" s="408">
        <f t="shared" si="27"/>
        <v>-1709934.3015477268</v>
      </c>
      <c r="K95" s="401">
        <f t="shared" si="21"/>
        <v>0.59489829387639737</v>
      </c>
      <c r="L95" s="378">
        <f>SUM($E$26:E95)*C95-SUM($F$26:F95)</f>
        <v>4705570.6491232002</v>
      </c>
      <c r="M95" s="427">
        <f t="shared" si="35"/>
        <v>36.459153551124238</v>
      </c>
      <c r="N95" s="446"/>
      <c r="O95" s="446"/>
      <c r="P95" s="379">
        <f>SUM($E$55:E95)*170/35/$B$1</f>
        <v>292277.04733463988</v>
      </c>
      <c r="Q95" s="402">
        <f t="shared" si="34"/>
        <v>7.7097505668934238E-2</v>
      </c>
      <c r="R95" s="434">
        <f t="shared" si="26"/>
        <v>2255262.5443584193</v>
      </c>
      <c r="S95" s="391"/>
    </row>
    <row r="96" spans="2:24" x14ac:dyDescent="0.25">
      <c r="B96" s="376">
        <f t="shared" si="30"/>
        <v>64</v>
      </c>
      <c r="C96" s="399">
        <f t="shared" si="31"/>
        <v>57.480297280912495</v>
      </c>
      <c r="D96" s="400">
        <f>SUM($E$55:E96)</f>
        <v>67000</v>
      </c>
      <c r="E96" s="377">
        <v>0</v>
      </c>
      <c r="F96" s="418">
        <f t="shared" si="11"/>
        <v>0</v>
      </c>
      <c r="G96" s="379">
        <f>SUM($E$55:E96)*C96</f>
        <v>3851179.9178211372</v>
      </c>
      <c r="H96" s="378"/>
      <c r="I96" s="378">
        <f>-(-SUM($F$55:F96)-SUM($H$55:H96))</f>
        <v>-1535742.6872467627</v>
      </c>
      <c r="J96" s="408">
        <f t="shared" si="27"/>
        <v>-1709934.3015477268</v>
      </c>
      <c r="K96" s="401">
        <f t="shared" si="21"/>
        <v>0.60122800803457865</v>
      </c>
      <c r="L96" s="378">
        <f>SUM($E$26:E96)*C96-SUM($F$26:F96)</f>
        <v>4754967.7795989849</v>
      </c>
      <c r="M96" s="427">
        <f t="shared" si="35"/>
        <v>36.459153551124238</v>
      </c>
      <c r="N96" s="446"/>
      <c r="O96" s="446"/>
      <c r="P96" s="379">
        <f>SUM($E$55:E96)*170/35/$B$1</f>
        <v>292277.04733463988</v>
      </c>
      <c r="Q96" s="402">
        <f t="shared" si="34"/>
        <v>7.5892857142857137E-2</v>
      </c>
      <c r="R96" s="434">
        <f t="shared" si="26"/>
        <v>2315437.2305743746</v>
      </c>
      <c r="S96" s="391"/>
    </row>
    <row r="97" spans="2:19" x14ac:dyDescent="0.25">
      <c r="B97" s="376">
        <f t="shared" si="30"/>
        <v>65</v>
      </c>
      <c r="C97" s="399">
        <f t="shared" si="31"/>
        <v>58.378426925926753</v>
      </c>
      <c r="D97" s="400">
        <f>SUM($E$55:E97)</f>
        <v>67000</v>
      </c>
      <c r="E97" s="377">
        <v>0</v>
      </c>
      <c r="F97" s="418">
        <f t="shared" si="11"/>
        <v>0</v>
      </c>
      <c r="G97" s="379">
        <f>SUM($E$55:E97)*C97</f>
        <v>3911354.6040370925</v>
      </c>
      <c r="H97" s="378"/>
      <c r="I97" s="378">
        <f>-(-SUM($F$55:F97)-SUM($H$55:H97))</f>
        <v>-1535742.6872467627</v>
      </c>
      <c r="J97" s="408">
        <f t="shared" si="27"/>
        <v>-1709934.3015477268</v>
      </c>
      <c r="K97" s="401">
        <f t="shared" si="21"/>
        <v>0.60736296175712357</v>
      </c>
      <c r="L97" s="378">
        <f>SUM($E$26:E97)*C97-SUM($F$26:F97)</f>
        <v>4804364.9100747686</v>
      </c>
      <c r="M97" s="427">
        <f t="shared" si="35"/>
        <v>36.459153551124238</v>
      </c>
      <c r="N97" s="446"/>
      <c r="O97" s="446"/>
      <c r="P97" s="379">
        <f>SUM($E$55:E97)*170/35/$B$1</f>
        <v>292277.04733463988</v>
      </c>
      <c r="Q97" s="402">
        <f t="shared" si="34"/>
        <v>7.4725274725274723E-2</v>
      </c>
      <c r="R97" s="434">
        <f t="shared" si="26"/>
        <v>2375611.9167903299</v>
      </c>
      <c r="S97" s="391"/>
    </row>
    <row r="98" spans="2:19" x14ac:dyDescent="0.25">
      <c r="B98" s="376">
        <f t="shared" si="30"/>
        <v>66</v>
      </c>
      <c r="C98" s="399">
        <f t="shared" si="31"/>
        <v>59.276556570941011</v>
      </c>
      <c r="D98" s="400">
        <f>SUM($E$55:E98)</f>
        <v>67000</v>
      </c>
      <c r="E98" s="377">
        <v>0</v>
      </c>
      <c r="F98" s="418">
        <f t="shared" si="11"/>
        <v>0</v>
      </c>
      <c r="G98" s="379">
        <f>SUM($E$55:E98)*C98</f>
        <v>3971529.2902530478</v>
      </c>
      <c r="H98" s="378"/>
      <c r="I98" s="378">
        <f>-(-SUM($F$55:F98)-SUM($H$55:H98))</f>
        <v>-1535742.6872467627</v>
      </c>
      <c r="J98" s="408">
        <f t="shared" si="27"/>
        <v>-1709934.3015477268</v>
      </c>
      <c r="K98" s="401">
        <f t="shared" si="21"/>
        <v>0.61331200779110651</v>
      </c>
      <c r="L98" s="378">
        <f>SUM($E$26:E98)*C98-SUM($F$26:F98)</f>
        <v>4853762.0405505532</v>
      </c>
      <c r="M98" s="427">
        <f t="shared" si="35"/>
        <v>36.459153551124238</v>
      </c>
      <c r="N98" s="446"/>
      <c r="O98" s="446"/>
      <c r="P98" s="379">
        <f>SUM($E$55:E98)*170/35/$B$1</f>
        <v>292277.04733463988</v>
      </c>
      <c r="Q98" s="402">
        <f t="shared" si="34"/>
        <v>7.3593073593073585E-2</v>
      </c>
      <c r="R98" s="434">
        <f t="shared" si="26"/>
        <v>2435786.6030062851</v>
      </c>
      <c r="S98" s="391"/>
    </row>
    <row r="99" spans="2:19" x14ac:dyDescent="0.25">
      <c r="B99" s="376">
        <f t="shared" si="30"/>
        <v>67</v>
      </c>
      <c r="C99" s="399">
        <f t="shared" si="31"/>
        <v>60.174686215955269</v>
      </c>
      <c r="D99" s="400">
        <f>SUM($E$55:E99)</f>
        <v>67000</v>
      </c>
      <c r="E99" s="377">
        <v>0</v>
      </c>
      <c r="F99" s="418">
        <f t="shared" si="11"/>
        <v>0</v>
      </c>
      <c r="G99" s="379">
        <f>SUM($E$55:E99)*C99</f>
        <v>4031703.9764690031</v>
      </c>
      <c r="H99" s="378"/>
      <c r="I99" s="378">
        <f>-(-SUM($F$55:F99)-SUM($H$55:H99))</f>
        <v>-1535742.6872467627</v>
      </c>
      <c r="J99" s="408">
        <f t="shared" si="27"/>
        <v>-1709934.3015477268</v>
      </c>
      <c r="K99" s="401">
        <f t="shared" si="21"/>
        <v>0.61908347036138855</v>
      </c>
      <c r="L99" s="378">
        <f>SUM($E$26:E99)*C99-SUM($F$26:F99)</f>
        <v>4903159.171026337</v>
      </c>
      <c r="M99" s="427">
        <f t="shared" si="35"/>
        <v>36.459153551124238</v>
      </c>
      <c r="N99" s="446"/>
      <c r="O99" s="446"/>
      <c r="P99" s="379">
        <f>SUM($E$55:E99)*170/35/$B$1</f>
        <v>292277.04733463988</v>
      </c>
      <c r="Q99" s="402">
        <f t="shared" si="34"/>
        <v>7.2494669509594878E-2</v>
      </c>
      <c r="R99" s="434">
        <f t="shared" si="26"/>
        <v>2495961.2892222404</v>
      </c>
      <c r="S99" s="391"/>
    </row>
    <row r="100" spans="2:19" x14ac:dyDescent="0.25">
      <c r="B100" s="376">
        <f t="shared" si="30"/>
        <v>68</v>
      </c>
      <c r="C100" s="399">
        <f t="shared" si="31"/>
        <v>61.072815860969527</v>
      </c>
      <c r="D100" s="400">
        <f>SUM($E$55:E100)</f>
        <v>67000</v>
      </c>
      <c r="E100" s="377">
        <v>0</v>
      </c>
      <c r="F100" s="418">
        <f t="shared" si="11"/>
        <v>0</v>
      </c>
      <c r="G100" s="379">
        <f>SUM($E$55:E100)*C100</f>
        <v>4091878.6626849584</v>
      </c>
      <c r="H100" s="378"/>
      <c r="I100" s="378">
        <f>-(-SUM($F$55:F100)-SUM($H$55:H100))</f>
        <v>-1535742.6872467627</v>
      </c>
      <c r="J100" s="408">
        <f t="shared" si="27"/>
        <v>-1709934.3015477268</v>
      </c>
      <c r="K100" s="401">
        <f t="shared" si="21"/>
        <v>0.62468518403254458</v>
      </c>
      <c r="L100" s="378">
        <f>SUM($E$26:E100)*C100-SUM($F$26:F100)</f>
        <v>4952556.3015021216</v>
      </c>
      <c r="M100" s="427">
        <f t="shared" si="35"/>
        <v>36.459153551124238</v>
      </c>
      <c r="N100" s="446"/>
      <c r="O100" s="446"/>
      <c r="P100" s="379">
        <f>SUM($E$55:E100)*170/35/$B$1</f>
        <v>292277.04733463988</v>
      </c>
      <c r="Q100" s="402">
        <f t="shared" si="34"/>
        <v>7.1428571428571425E-2</v>
      </c>
      <c r="R100" s="434">
        <f t="shared" si="26"/>
        <v>2556135.9754381957</v>
      </c>
      <c r="S100" s="391"/>
    </row>
    <row r="101" spans="2:19" x14ac:dyDescent="0.25">
      <c r="B101" s="376">
        <f t="shared" si="30"/>
        <v>69</v>
      </c>
      <c r="C101" s="399">
        <f t="shared" si="31"/>
        <v>61.970945505983785</v>
      </c>
      <c r="D101" s="400">
        <f>SUM($E$55:E101)</f>
        <v>67000</v>
      </c>
      <c r="E101" s="377">
        <v>0</v>
      </c>
      <c r="F101" s="418">
        <f t="shared" si="11"/>
        <v>0</v>
      </c>
      <c r="G101" s="379">
        <f>SUM($E$55:E101)*C101</f>
        <v>4152053.3489009137</v>
      </c>
      <c r="H101" s="378"/>
      <c r="I101" s="378">
        <f>-(-SUM($F$55:F101)-SUM($H$55:H101))</f>
        <v>-1535742.6872467627</v>
      </c>
      <c r="J101" s="408">
        <f t="shared" si="27"/>
        <v>-1709934.3015477268</v>
      </c>
      <c r="K101" s="401">
        <f t="shared" si="21"/>
        <v>0.6301245291914932</v>
      </c>
      <c r="L101" s="378">
        <f>SUM($E$26:E101)*C101-SUM($F$26:F101)</f>
        <v>5001953.4319779053</v>
      </c>
      <c r="M101" s="427">
        <f t="shared" si="35"/>
        <v>36.459153551124238</v>
      </c>
      <c r="N101" s="446"/>
      <c r="O101" s="446"/>
      <c r="P101" s="379">
        <f>SUM($E$55:E101)*170/35/$B$1</f>
        <v>292277.04733463988</v>
      </c>
      <c r="Q101" s="402">
        <f t="shared" si="34"/>
        <v>7.0393374741200831E-2</v>
      </c>
      <c r="R101" s="434">
        <f t="shared" ref="R101:R107" si="36">G101+I101</f>
        <v>2616310.661654151</v>
      </c>
      <c r="S101" s="391"/>
    </row>
    <row r="102" spans="2:19" x14ac:dyDescent="0.25">
      <c r="B102" s="376">
        <f t="shared" si="30"/>
        <v>70</v>
      </c>
      <c r="C102" s="399">
        <f t="shared" si="31"/>
        <v>62.869075150998043</v>
      </c>
      <c r="D102" s="400">
        <f>SUM($E$55:E102)</f>
        <v>67000</v>
      </c>
      <c r="E102" s="377">
        <v>0</v>
      </c>
      <c r="F102" s="418">
        <f t="shared" si="11"/>
        <v>0</v>
      </c>
      <c r="G102" s="379">
        <f>SUM($E$55:E102)*C102</f>
        <v>4212228.035116869</v>
      </c>
      <c r="H102" s="378"/>
      <c r="I102" s="378">
        <f>-(-SUM($F$55:F102)-SUM($H$55:H102))</f>
        <v>-1535742.6872467627</v>
      </c>
      <c r="J102" s="408">
        <f t="shared" si="27"/>
        <v>-1709934.3015477268</v>
      </c>
      <c r="K102" s="401">
        <f t="shared" si="21"/>
        <v>0.63540846448875765</v>
      </c>
      <c r="L102" s="378">
        <f>SUM($E$26:E102)*C102-SUM($F$26:F102)</f>
        <v>5051350.56245369</v>
      </c>
      <c r="M102" s="427">
        <f t="shared" si="35"/>
        <v>36.459153551124238</v>
      </c>
      <c r="N102" s="446"/>
      <c r="O102" s="446"/>
      <c r="P102" s="379">
        <f>SUM($E$55:E102)*170/35/$B$1</f>
        <v>292277.04733463988</v>
      </c>
      <c r="Q102" s="402">
        <f t="shared" si="34"/>
        <v>6.9387755102040816E-2</v>
      </c>
      <c r="R102" s="434">
        <f t="shared" si="36"/>
        <v>2676485.3478701063</v>
      </c>
      <c r="S102" s="391"/>
    </row>
    <row r="103" spans="2:19" x14ac:dyDescent="0.25">
      <c r="B103" s="376">
        <f t="shared" si="30"/>
        <v>71</v>
      </c>
      <c r="C103" s="399">
        <f t="shared" si="31"/>
        <v>63.767204796012301</v>
      </c>
      <c r="D103" s="400">
        <f>SUM($E$55:E103)</f>
        <v>67000</v>
      </c>
      <c r="E103" s="377">
        <v>0</v>
      </c>
      <c r="F103" s="418">
        <f t="shared" si="11"/>
        <v>0</v>
      </c>
      <c r="G103" s="379">
        <f>SUM($E$55:E103)*C103</f>
        <v>4272402.7213328239</v>
      </c>
      <c r="H103" s="378"/>
      <c r="I103" s="378">
        <f>-(-SUM($F$55:F103)-SUM($H$55:H103))</f>
        <v>-1535742.6872467627</v>
      </c>
      <c r="J103" s="408">
        <f t="shared" si="27"/>
        <v>-1709934.3015477268</v>
      </c>
      <c r="K103" s="401">
        <f t="shared" si="21"/>
        <v>0.64054355653821171</v>
      </c>
      <c r="L103" s="378">
        <f>SUM($E$26:E103)*C103-SUM($F$26:F103)</f>
        <v>5100747.6929294737</v>
      </c>
      <c r="M103" s="427">
        <f t="shared" si="35"/>
        <v>36.459153551124238</v>
      </c>
      <c r="N103" s="446"/>
      <c r="O103" s="446"/>
      <c r="P103" s="379">
        <f>SUM($E$55:E103)*170/35/$B$1</f>
        <v>292277.04733463988</v>
      </c>
      <c r="Q103" s="402">
        <f t="shared" si="34"/>
        <v>6.8410462776659964E-2</v>
      </c>
      <c r="R103" s="434">
        <f t="shared" si="36"/>
        <v>2736660.0340860612</v>
      </c>
      <c r="S103" s="391"/>
    </row>
    <row r="104" spans="2:19" x14ac:dyDescent="0.25">
      <c r="B104" s="376">
        <f t="shared" si="30"/>
        <v>72</v>
      </c>
      <c r="C104" s="399">
        <f t="shared" si="31"/>
        <v>64.665334441026559</v>
      </c>
      <c r="D104" s="400">
        <f>SUM($E$55:E104)</f>
        <v>67000</v>
      </c>
      <c r="E104" s="377">
        <v>0</v>
      </c>
      <c r="F104" s="418">
        <f t="shared" si="11"/>
        <v>0</v>
      </c>
      <c r="G104" s="379">
        <f>SUM($E$55:E104)*C104</f>
        <v>4332577.4075487796</v>
      </c>
      <c r="H104" s="378"/>
      <c r="I104" s="378">
        <f>-(-SUM($F$55:F104)-SUM($H$55:H104))</f>
        <v>-1535742.6872467627</v>
      </c>
      <c r="J104" s="408">
        <f t="shared" si="27"/>
        <v>-1709934.3015477268</v>
      </c>
      <c r="K104" s="401">
        <f t="shared" si="21"/>
        <v>0.64553600714184767</v>
      </c>
      <c r="L104" s="378">
        <f>SUM($E$26:E104)*C104-SUM($F$26:F104)</f>
        <v>5150144.8234052584</v>
      </c>
      <c r="M104" s="427">
        <f t="shared" si="35"/>
        <v>36.459153551124238</v>
      </c>
      <c r="N104" s="446"/>
      <c r="O104" s="446"/>
      <c r="P104" s="379">
        <f>SUM($E$55:E104)*170/35/$B$1</f>
        <v>292277.04733463988</v>
      </c>
      <c r="Q104" s="402">
        <f t="shared" si="34"/>
        <v>6.7460317460317457E-2</v>
      </c>
      <c r="R104" s="434">
        <f t="shared" si="36"/>
        <v>2796834.7203020169</v>
      </c>
      <c r="S104" s="391"/>
    </row>
    <row r="105" spans="2:19" x14ac:dyDescent="0.25">
      <c r="B105" s="376">
        <f>B104+$E$1</f>
        <v>73</v>
      </c>
      <c r="C105" s="399">
        <f t="shared" si="31"/>
        <v>65.56346408604081</v>
      </c>
      <c r="D105" s="400">
        <f>SUM($E$55:E105)</f>
        <v>67000</v>
      </c>
      <c r="E105" s="377">
        <v>0</v>
      </c>
      <c r="F105" s="418">
        <f t="shared" si="11"/>
        <v>0</v>
      </c>
      <c r="G105" s="379">
        <f>SUM($E$55:E105)*C105</f>
        <v>4392752.0937647345</v>
      </c>
      <c r="H105" s="378"/>
      <c r="I105" s="378">
        <f>-(-SUM($F$55:F105)-SUM($H$55:H105))</f>
        <v>-1535742.6872467627</v>
      </c>
      <c r="J105" s="408">
        <f t="shared" si="27"/>
        <v>-1709934.3015477268</v>
      </c>
      <c r="K105" s="401">
        <f t="shared" si="21"/>
        <v>0.65039167827689082</v>
      </c>
      <c r="L105" s="378">
        <f>SUM($E$26:E105)*C105-SUM($F$26:F105)</f>
        <v>5199541.9538810421</v>
      </c>
      <c r="M105" s="427">
        <f t="shared" si="35"/>
        <v>36.459153551124238</v>
      </c>
      <c r="N105" s="446"/>
      <c r="O105" s="446"/>
      <c r="P105" s="379">
        <f>SUM($E$55:E105)*170/35/$B$1</f>
        <v>292277.04733463988</v>
      </c>
      <c r="Q105" s="402">
        <f t="shared" si="34"/>
        <v>6.6536203522504889E-2</v>
      </c>
      <c r="R105" s="434">
        <f t="shared" si="36"/>
        <v>2857009.4065179718</v>
      </c>
      <c r="S105" s="391"/>
    </row>
    <row r="106" spans="2:19" x14ac:dyDescent="0.25">
      <c r="B106" s="376">
        <f>B105+$E$1</f>
        <v>74</v>
      </c>
      <c r="C106" s="399">
        <f t="shared" si="31"/>
        <v>66.461593731055075</v>
      </c>
      <c r="D106" s="400">
        <f>SUM($E$55:E106)</f>
        <v>67000</v>
      </c>
      <c r="E106" s="377">
        <v>0</v>
      </c>
      <c r="F106" s="418">
        <f t="shared" si="11"/>
        <v>0</v>
      </c>
      <c r="G106" s="379">
        <f>SUM($E$55:E106)*C106</f>
        <v>4452926.7799806902</v>
      </c>
      <c r="H106" s="378"/>
      <c r="I106" s="378">
        <f>-(-SUM($F$55:F106)-SUM($H$55:H106))</f>
        <v>-1535742.6872467627</v>
      </c>
      <c r="J106" s="408">
        <f t="shared" si="27"/>
        <v>-1709934.3015477268</v>
      </c>
      <c r="K106" s="401">
        <f t="shared" si="21"/>
        <v>0.6551161150569329</v>
      </c>
      <c r="L106" s="378">
        <f>SUM($E$26:E106)*C106-SUM($F$26:F106)</f>
        <v>5248939.0843568267</v>
      </c>
      <c r="M106" s="427">
        <f t="shared" si="35"/>
        <v>36.459153551124238</v>
      </c>
      <c r="N106" s="446"/>
      <c r="O106" s="446"/>
      <c r="P106" s="379">
        <f>SUM($E$55:E106)*170/35/$B$1</f>
        <v>292277.04733463988</v>
      </c>
      <c r="Q106" s="402">
        <f t="shared" si="34"/>
        <v>6.5637065637065631E-2</v>
      </c>
      <c r="R106" s="434">
        <f t="shared" si="36"/>
        <v>2917184.0927339275</v>
      </c>
      <c r="S106" s="391"/>
    </row>
    <row r="107" spans="2:19" ht="15.75" thickBot="1" x14ac:dyDescent="0.3">
      <c r="B107" s="380">
        <f>B106+$E$1</f>
        <v>75</v>
      </c>
      <c r="C107" s="421">
        <f t="shared" si="31"/>
        <v>67.359723376069326</v>
      </c>
      <c r="D107" s="422">
        <f>SUM($E$55:E107)</f>
        <v>67000</v>
      </c>
      <c r="E107" s="381">
        <v>0</v>
      </c>
      <c r="F107" s="423">
        <f t="shared" si="11"/>
        <v>0</v>
      </c>
      <c r="G107" s="430">
        <f>SUM($E$55:E107)*C107</f>
        <v>4513101.4661966451</v>
      </c>
      <c r="H107" s="382"/>
      <c r="I107" s="382">
        <f>-(-SUM($F$55:F107)-SUM($H$55:H107))</f>
        <v>-1535742.6872467627</v>
      </c>
      <c r="J107" s="408">
        <f t="shared" si="27"/>
        <v>-1709934.3015477268</v>
      </c>
      <c r="K107" s="431">
        <f t="shared" si="21"/>
        <v>0.6597145668561738</v>
      </c>
      <c r="L107" s="382">
        <f>SUM($E$26:E107)*C107-SUM($F$26:F107)</f>
        <v>5298336.2148326105</v>
      </c>
      <c r="M107" s="432">
        <f t="shared" si="35"/>
        <v>36.459153551124238</v>
      </c>
      <c r="N107" s="447"/>
      <c r="O107" s="447"/>
      <c r="P107" s="430">
        <f>SUM($E$55:E107)*170/35/$B$1</f>
        <v>292277.04733463988</v>
      </c>
      <c r="Q107" s="436">
        <f t="shared" si="34"/>
        <v>6.4761904761904771E-2</v>
      </c>
      <c r="R107" s="437">
        <f t="shared" si="36"/>
        <v>2977358.7789498824</v>
      </c>
      <c r="S107" s="391"/>
    </row>
    <row r="108" spans="2:19" x14ac:dyDescent="0.25">
      <c r="S108" s="391"/>
    </row>
    <row r="109" spans="2:19" x14ac:dyDescent="0.25">
      <c r="S109" s="391"/>
    </row>
    <row r="110" spans="2:19" x14ac:dyDescent="0.25">
      <c r="S110" s="391"/>
    </row>
    <row r="111" spans="2:19" x14ac:dyDescent="0.25">
      <c r="S111" s="391"/>
    </row>
    <row r="112" spans="2:19" x14ac:dyDescent="0.25">
      <c r="S112" s="391"/>
    </row>
    <row r="113" spans="19:19" x14ac:dyDescent="0.25">
      <c r="S113" s="391"/>
    </row>
    <row r="114" spans="19:19" x14ac:dyDescent="0.25">
      <c r="S114" s="391"/>
    </row>
  </sheetData>
  <mergeCells count="3">
    <mergeCell ref="P3:R3"/>
    <mergeCell ref="B3:F3"/>
    <mergeCell ref="G3:O3"/>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3"/>
  <dimension ref="A1:A7"/>
  <sheetViews>
    <sheetView workbookViewId="0">
      <selection activeCell="B4" sqref="B4"/>
    </sheetView>
  </sheetViews>
  <sheetFormatPr defaultRowHeight="15" x14ac:dyDescent="0.25"/>
  <cols>
    <col min="1" max="16384" width="9.140625" style="383"/>
  </cols>
  <sheetData>
    <row r="1" spans="1:1" x14ac:dyDescent="0.25">
      <c r="A1" s="383" t="s">
        <v>182</v>
      </c>
    </row>
    <row r="2" spans="1:1" x14ac:dyDescent="0.25">
      <c r="A2" s="383" t="s">
        <v>183</v>
      </c>
    </row>
    <row r="3" spans="1:1" x14ac:dyDescent="0.25">
      <c r="A3" s="383" t="s">
        <v>184</v>
      </c>
    </row>
    <row r="4" spans="1:1" x14ac:dyDescent="0.25">
      <c r="A4" s="383" t="s">
        <v>185</v>
      </c>
    </row>
    <row r="5" spans="1:1" x14ac:dyDescent="0.25">
      <c r="A5" s="383" t="s">
        <v>186</v>
      </c>
    </row>
    <row r="7" spans="1:1" x14ac:dyDescent="0.25">
      <c r="A7" s="383" t="s">
        <v>187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Y113"/>
  <sheetViews>
    <sheetView tabSelected="1" workbookViewId="0">
      <pane xSplit="3" ySplit="4" topLeftCell="D11" activePane="bottomRight" state="frozen"/>
      <selection pane="topRight" activeCell="D1" sqref="D1"/>
      <selection pane="bottomLeft" activeCell="A5" sqref="A5"/>
      <selection pane="bottomRight" activeCell="B7" sqref="B7"/>
    </sheetView>
  </sheetViews>
  <sheetFormatPr defaultRowHeight="12.75" x14ac:dyDescent="0.2"/>
  <cols>
    <col min="1" max="1" width="4.5703125" style="463" customWidth="1"/>
    <col min="2" max="2" width="21.42578125" style="462" customWidth="1"/>
    <col min="3" max="3" width="8" style="462" customWidth="1"/>
    <col min="4" max="4" width="9.140625" style="462"/>
    <col min="5" max="5" width="10.85546875" style="462" customWidth="1"/>
    <col min="6" max="19" width="9.7109375" style="462" customWidth="1"/>
    <col min="20" max="25" width="11.28515625" style="462" customWidth="1"/>
    <col min="26" max="16384" width="9.140625" style="462"/>
  </cols>
  <sheetData>
    <row r="1" spans="1:25" ht="33.75" thickBot="1" x14ac:dyDescent="0.65">
      <c r="B1" s="656" t="s">
        <v>222</v>
      </c>
      <c r="G1" s="647"/>
      <c r="H1" s="655"/>
      <c r="I1" s="654"/>
      <c r="J1" s="655" t="s">
        <v>108</v>
      </c>
      <c r="K1" s="654"/>
      <c r="L1" s="654"/>
    </row>
    <row r="2" spans="1:25" s="647" customFormat="1" ht="36" customHeight="1" thickBot="1" x14ac:dyDescent="0.55000000000000004">
      <c r="A2" s="562"/>
      <c r="B2" s="653"/>
      <c r="G2" s="652"/>
      <c r="H2" s="651"/>
      <c r="I2" s="649"/>
      <c r="J2" s="650" t="s">
        <v>221</v>
      </c>
      <c r="K2" s="649"/>
      <c r="L2" s="649"/>
      <c r="M2" s="648"/>
    </row>
    <row r="3" spans="1:25" ht="20.25" x14ac:dyDescent="0.3">
      <c r="B3" s="646" t="s">
        <v>110</v>
      </c>
      <c r="C3" s="627"/>
      <c r="D3" s="645"/>
      <c r="E3" s="626"/>
      <c r="F3" s="468"/>
    </row>
    <row r="4" spans="1:25" s="541" customFormat="1" ht="16.5" thickBot="1" x14ac:dyDescent="0.3">
      <c r="C4" s="620"/>
      <c r="D4" s="619" t="s">
        <v>20</v>
      </c>
      <c r="E4" s="644" t="s">
        <v>1</v>
      </c>
      <c r="F4" s="643" t="s">
        <v>2</v>
      </c>
      <c r="G4" s="643" t="s">
        <v>3</v>
      </c>
      <c r="H4" s="643" t="s">
        <v>4</v>
      </c>
      <c r="I4" s="642" t="s">
        <v>5</v>
      </c>
      <c r="J4" s="642" t="s">
        <v>6</v>
      </c>
      <c r="K4" s="642" t="s">
        <v>7</v>
      </c>
      <c r="L4" s="642" t="s">
        <v>8</v>
      </c>
      <c r="M4" s="615" t="s">
        <v>9</v>
      </c>
      <c r="N4" s="615" t="s">
        <v>10</v>
      </c>
      <c r="O4" s="615" t="s">
        <v>11</v>
      </c>
      <c r="P4" s="615" t="s">
        <v>12</v>
      </c>
      <c r="Q4" s="614" t="s">
        <v>220</v>
      </c>
      <c r="R4" s="614" t="s">
        <v>219</v>
      </c>
      <c r="S4" s="614" t="s">
        <v>218</v>
      </c>
      <c r="T4" s="614" t="s">
        <v>217</v>
      </c>
      <c r="U4" s="640">
        <v>2016</v>
      </c>
      <c r="V4" s="641">
        <v>2017</v>
      </c>
      <c r="W4" s="640">
        <v>2018</v>
      </c>
      <c r="X4" s="641">
        <v>2019</v>
      </c>
      <c r="Y4" s="640">
        <v>2020</v>
      </c>
    </row>
    <row r="5" spans="1:25" s="629" customFormat="1" ht="17.25" thickBot="1" x14ac:dyDescent="0.3">
      <c r="B5" s="639" t="s">
        <v>105</v>
      </c>
      <c r="C5" s="638"/>
      <c r="D5" s="638"/>
      <c r="E5" s="633"/>
      <c r="F5" s="633"/>
      <c r="G5" s="633"/>
      <c r="H5" s="633"/>
      <c r="I5" s="633"/>
      <c r="J5" s="633"/>
      <c r="K5" s="633"/>
      <c r="L5" s="637"/>
      <c r="M5" s="633">
        <v>3.5000000000000003E-2</v>
      </c>
      <c r="N5" s="633">
        <f>+M5</f>
        <v>3.5000000000000003E-2</v>
      </c>
      <c r="O5" s="633">
        <f>+N5</f>
        <v>3.5000000000000003E-2</v>
      </c>
      <c r="P5" s="636">
        <f>+O5</f>
        <v>3.5000000000000003E-2</v>
      </c>
      <c r="Q5" s="636">
        <f>+P5</f>
        <v>3.5000000000000003E-2</v>
      </c>
      <c r="R5" s="636">
        <f>+Q5</f>
        <v>3.5000000000000003E-2</v>
      </c>
      <c r="S5" s="636">
        <f>+R5</f>
        <v>3.5000000000000003E-2</v>
      </c>
      <c r="T5" s="636">
        <f>+S5</f>
        <v>3.5000000000000003E-2</v>
      </c>
      <c r="U5" s="637">
        <v>0.15</v>
      </c>
      <c r="V5" s="636">
        <v>0.15</v>
      </c>
      <c r="W5" s="636">
        <v>0.15</v>
      </c>
      <c r="X5" s="636">
        <v>0.15</v>
      </c>
      <c r="Y5" s="636">
        <v>0.15</v>
      </c>
    </row>
    <row r="6" spans="1:25" s="629" customFormat="1" ht="17.25" thickBot="1" x14ac:dyDescent="0.3">
      <c r="B6" s="635" t="s">
        <v>106</v>
      </c>
      <c r="C6" s="634"/>
      <c r="D6" s="634"/>
      <c r="E6" s="633"/>
      <c r="F6" s="632"/>
      <c r="G6" s="632"/>
      <c r="H6" s="632"/>
      <c r="I6" s="632"/>
      <c r="J6" s="632"/>
      <c r="K6" s="632"/>
      <c r="L6" s="631"/>
      <c r="M6" s="632">
        <v>-0.06</v>
      </c>
      <c r="N6" s="632">
        <f>+M6</f>
        <v>-0.06</v>
      </c>
      <c r="O6" s="632">
        <f>+N6</f>
        <v>-0.06</v>
      </c>
      <c r="P6" s="630">
        <f>+O6</f>
        <v>-0.06</v>
      </c>
      <c r="Q6" s="630">
        <f>+P6</f>
        <v>-0.06</v>
      </c>
      <c r="R6" s="630">
        <f>+Q6</f>
        <v>-0.06</v>
      </c>
      <c r="S6" s="630">
        <f>+R6</f>
        <v>-0.06</v>
      </c>
      <c r="T6" s="630">
        <f>+S6</f>
        <v>-0.06</v>
      </c>
      <c r="U6" s="631">
        <v>-0.24</v>
      </c>
      <c r="V6" s="630">
        <v>-0.24</v>
      </c>
      <c r="W6" s="630">
        <v>-0.24</v>
      </c>
      <c r="X6" s="630">
        <v>-0.24</v>
      </c>
      <c r="Y6" s="630">
        <v>0</v>
      </c>
    </row>
    <row r="7" spans="1:25" ht="20.25" x14ac:dyDescent="0.3">
      <c r="B7" s="628"/>
      <c r="C7" s="627"/>
      <c r="D7" s="627"/>
      <c r="E7" s="626"/>
      <c r="F7" s="625"/>
      <c r="G7" s="624"/>
      <c r="H7" s="624"/>
      <c r="I7" s="624"/>
      <c r="J7" s="624"/>
      <c r="K7" s="624"/>
      <c r="L7" s="623"/>
    </row>
    <row r="8" spans="1:25" s="466" customFormat="1" ht="15.75" x14ac:dyDescent="0.25">
      <c r="A8" s="467"/>
      <c r="D8" s="539"/>
      <c r="E8" s="622"/>
      <c r="F8" s="622"/>
      <c r="G8" s="622"/>
      <c r="H8" s="622"/>
      <c r="I8" s="622"/>
      <c r="J8" s="622"/>
      <c r="K8" s="622"/>
      <c r="L8" s="621" t="s">
        <v>56</v>
      </c>
    </row>
    <row r="9" spans="1:25" s="541" customFormat="1" x14ac:dyDescent="0.2">
      <c r="A9" s="467"/>
      <c r="C9" s="620" t="s">
        <v>36</v>
      </c>
      <c r="D9" s="619" t="s">
        <v>20</v>
      </c>
      <c r="E9" s="618" t="s">
        <v>1</v>
      </c>
      <c r="F9" s="618" t="s">
        <v>2</v>
      </c>
      <c r="G9" s="618" t="s">
        <v>3</v>
      </c>
      <c r="H9" s="618" t="s">
        <v>4</v>
      </c>
      <c r="I9" s="617" t="s">
        <v>5</v>
      </c>
      <c r="J9" s="617" t="s">
        <v>6</v>
      </c>
      <c r="K9" s="617" t="s">
        <v>7</v>
      </c>
      <c r="L9" s="616" t="s">
        <v>8</v>
      </c>
      <c r="M9" s="615" t="s">
        <v>9</v>
      </c>
      <c r="N9" s="615" t="s">
        <v>10</v>
      </c>
      <c r="O9" s="615" t="s">
        <v>11</v>
      </c>
      <c r="P9" s="615" t="s">
        <v>12</v>
      </c>
      <c r="Q9" s="614" t="s">
        <v>220</v>
      </c>
      <c r="R9" s="614" t="s">
        <v>219</v>
      </c>
      <c r="S9" s="614" t="s">
        <v>218</v>
      </c>
      <c r="T9" s="613" t="s">
        <v>217</v>
      </c>
      <c r="U9" s="612">
        <v>2016</v>
      </c>
      <c r="V9" s="613">
        <v>2017</v>
      </c>
      <c r="W9" s="612">
        <v>2018</v>
      </c>
      <c r="X9" s="613">
        <v>2019</v>
      </c>
      <c r="Y9" s="612">
        <v>2020</v>
      </c>
    </row>
    <row r="10" spans="1:25" s="557" customFormat="1" x14ac:dyDescent="0.2">
      <c r="A10" s="562"/>
      <c r="B10" s="583" t="s">
        <v>57</v>
      </c>
      <c r="C10" s="560"/>
      <c r="D10" s="580"/>
      <c r="E10" s="580"/>
      <c r="F10" s="580"/>
      <c r="G10" s="580"/>
      <c r="H10" s="580"/>
      <c r="I10" s="580"/>
      <c r="J10" s="580"/>
      <c r="K10" s="580"/>
      <c r="L10" s="611"/>
    </row>
    <row r="11" spans="1:25" s="557" customFormat="1" x14ac:dyDescent="0.2">
      <c r="A11" s="562"/>
      <c r="B11" s="585"/>
      <c r="C11" s="560"/>
      <c r="D11" s="580"/>
      <c r="E11" s="580"/>
      <c r="F11" s="580"/>
      <c r="G11" s="580"/>
      <c r="H11" s="580"/>
      <c r="I11" s="580"/>
      <c r="J11" s="580"/>
      <c r="K11" s="580"/>
      <c r="L11" s="611"/>
    </row>
    <row r="12" spans="1:25" s="557" customFormat="1" x14ac:dyDescent="0.2">
      <c r="A12" s="562"/>
      <c r="B12" s="607" t="s">
        <v>73</v>
      </c>
      <c r="C12" s="560"/>
      <c r="D12" s="554">
        <v>90</v>
      </c>
      <c r="E12" s="554">
        <v>85.9</v>
      </c>
      <c r="F12" s="554">
        <v>89.7</v>
      </c>
      <c r="G12" s="554">
        <v>92</v>
      </c>
      <c r="H12" s="554">
        <v>99.7</v>
      </c>
      <c r="I12" s="554">
        <v>98.9</v>
      </c>
      <c r="J12" s="554">
        <v>98.4</v>
      </c>
      <c r="K12" s="554">
        <v>101.6</v>
      </c>
      <c r="L12" s="559">
        <v>107.4</v>
      </c>
      <c r="M12" s="558">
        <f>+L12*(1+M13)</f>
        <v>111.15899999999999</v>
      </c>
      <c r="N12" s="558">
        <f>+M12*(1+N13)</f>
        <v>115.04956499999999</v>
      </c>
      <c r="O12" s="558">
        <f>+N12*(1+O13)</f>
        <v>119.07629977499998</v>
      </c>
      <c r="P12" s="558">
        <f>+O12*(1+P13)</f>
        <v>123.24397026712496</v>
      </c>
      <c r="Q12" s="558">
        <f>+P12*(1+Q13)</f>
        <v>127.55750922647432</v>
      </c>
      <c r="R12" s="558">
        <f>+Q12*(1+R13)</f>
        <v>132.0220220494009</v>
      </c>
      <c r="S12" s="558">
        <f>+R12*(1+S13)</f>
        <v>136.64279282112992</v>
      </c>
      <c r="T12" s="558">
        <f>+S12*(1+T13)</f>
        <v>141.42529056986945</v>
      </c>
      <c r="U12" s="558">
        <f>(+T12*4)*(1+U13)</f>
        <v>650.5563366213994</v>
      </c>
      <c r="V12" s="558">
        <f>+U12*(1+V13)</f>
        <v>748.13978711460925</v>
      </c>
      <c r="W12" s="558">
        <f>+V12*(1+W13)</f>
        <v>860.36075518180053</v>
      </c>
      <c r="X12" s="558">
        <f>+W12*(1+X13)</f>
        <v>989.41486845907048</v>
      </c>
      <c r="Y12" s="558">
        <f>+X12*(1+Y13)</f>
        <v>1137.8270987279309</v>
      </c>
    </row>
    <row r="13" spans="1:25" s="557" customFormat="1" x14ac:dyDescent="0.2">
      <c r="A13" s="562"/>
      <c r="B13" s="595" t="s">
        <v>76</v>
      </c>
      <c r="C13" s="610"/>
      <c r="D13" s="610"/>
      <c r="E13" s="606">
        <f>(+E12-D12)/D12</f>
        <v>-4.5555555555555495E-2</v>
      </c>
      <c r="F13" s="606">
        <f>(+F12-E12)/E12</f>
        <v>4.4237485448195543E-2</v>
      </c>
      <c r="G13" s="606">
        <f>(+G12-F12)/F12</f>
        <v>2.5641025641025609E-2</v>
      </c>
      <c r="H13" s="606">
        <f>(+H12-G12)/G12</f>
        <v>8.3695652173913074E-2</v>
      </c>
      <c r="I13" s="609">
        <f>(+I12-H12)/H12</f>
        <v>-8.0240722166499204E-3</v>
      </c>
      <c r="J13" s="609">
        <f>(+J12-I12)/I12</f>
        <v>-5.0556117290192111E-3</v>
      </c>
      <c r="K13" s="606">
        <f>(+K12-J12)/J12</f>
        <v>3.2520325203251918E-2</v>
      </c>
      <c r="L13" s="605">
        <f>(+L12-K12)/K12</f>
        <v>5.708661417322846E-2</v>
      </c>
      <c r="M13" s="608">
        <f>+M5</f>
        <v>3.5000000000000003E-2</v>
      </c>
      <c r="N13" s="608">
        <f>+N5</f>
        <v>3.5000000000000003E-2</v>
      </c>
      <c r="O13" s="608">
        <f>+O5</f>
        <v>3.5000000000000003E-2</v>
      </c>
      <c r="P13" s="608">
        <f>+P5</f>
        <v>3.5000000000000003E-2</v>
      </c>
      <c r="Q13" s="608">
        <f>+Q5</f>
        <v>3.5000000000000003E-2</v>
      </c>
      <c r="R13" s="608">
        <f>+R5</f>
        <v>3.5000000000000003E-2</v>
      </c>
      <c r="S13" s="608">
        <f>+S5</f>
        <v>3.5000000000000003E-2</v>
      </c>
      <c r="T13" s="608">
        <f>+T5</f>
        <v>3.5000000000000003E-2</v>
      </c>
      <c r="U13" s="608">
        <f>+U5</f>
        <v>0.15</v>
      </c>
      <c r="V13" s="608">
        <f>+V5</f>
        <v>0.15</v>
      </c>
      <c r="W13" s="608">
        <f>+W5</f>
        <v>0.15</v>
      </c>
      <c r="X13" s="608">
        <f>+X5</f>
        <v>0.15</v>
      </c>
      <c r="Y13" s="608">
        <f>+Y5</f>
        <v>0.15</v>
      </c>
    </row>
    <row r="14" spans="1:25" s="598" customFormat="1" x14ac:dyDescent="0.2">
      <c r="A14" s="603"/>
      <c r="B14" s="602" t="s">
        <v>122</v>
      </c>
      <c r="C14" s="599"/>
      <c r="D14" s="599">
        <v>0.39400000000000002</v>
      </c>
      <c r="E14" s="599">
        <v>0.4</v>
      </c>
      <c r="F14" s="599">
        <f>+E14</f>
        <v>0.4</v>
      </c>
      <c r="G14" s="599">
        <v>0.43</v>
      </c>
      <c r="H14" s="599">
        <v>0.495</v>
      </c>
      <c r="I14" s="599">
        <v>0.43</v>
      </c>
      <c r="J14" s="599">
        <v>0.42</v>
      </c>
      <c r="K14" s="599">
        <v>0.41899999999999998</v>
      </c>
      <c r="L14" s="600">
        <v>0.38150000000000001</v>
      </c>
      <c r="M14" s="598">
        <v>0.41</v>
      </c>
      <c r="N14" s="598">
        <f>+M14</f>
        <v>0.41</v>
      </c>
      <c r="O14" s="598">
        <f>+N14</f>
        <v>0.41</v>
      </c>
      <c r="P14" s="598">
        <f>+O14</f>
        <v>0.41</v>
      </c>
      <c r="Q14" s="598">
        <f>+P14</f>
        <v>0.41</v>
      </c>
      <c r="R14" s="598">
        <f>+Q14</f>
        <v>0.41</v>
      </c>
      <c r="S14" s="598">
        <f>+R14</f>
        <v>0.41</v>
      </c>
      <c r="T14" s="598">
        <f>+S14</f>
        <v>0.41</v>
      </c>
      <c r="U14" s="598">
        <f>+T14</f>
        <v>0.41</v>
      </c>
      <c r="V14" s="598">
        <f>+U14</f>
        <v>0.41</v>
      </c>
      <c r="W14" s="598">
        <f>+V14</f>
        <v>0.41</v>
      </c>
      <c r="X14" s="598">
        <f>+W14</f>
        <v>0.41</v>
      </c>
      <c r="Y14" s="598">
        <f>+X14</f>
        <v>0.41</v>
      </c>
    </row>
    <row r="15" spans="1:25" s="557" customFormat="1" x14ac:dyDescent="0.2">
      <c r="A15" s="562"/>
      <c r="B15" s="563" t="s">
        <v>75</v>
      </c>
      <c r="C15" s="560"/>
      <c r="D15" s="596">
        <f>+D12*D14</f>
        <v>35.46</v>
      </c>
      <c r="E15" s="596">
        <f>+E12*E14</f>
        <v>34.360000000000007</v>
      </c>
      <c r="F15" s="596">
        <f>+F12*F14</f>
        <v>35.880000000000003</v>
      </c>
      <c r="G15" s="596">
        <f>+G12*G14</f>
        <v>39.56</v>
      </c>
      <c r="H15" s="596">
        <f>+H12*H14</f>
        <v>49.351500000000001</v>
      </c>
      <c r="I15" s="596">
        <f>+I12*I14</f>
        <v>42.527000000000001</v>
      </c>
      <c r="J15" s="596">
        <f>+J12*J14</f>
        <v>41.328000000000003</v>
      </c>
      <c r="K15" s="596">
        <f>+K12*K14</f>
        <v>42.570399999999999</v>
      </c>
      <c r="L15" s="597">
        <f>+L12*L14</f>
        <v>40.973100000000002</v>
      </c>
      <c r="M15" s="596">
        <f>+M12*M14</f>
        <v>45.575189999999992</v>
      </c>
      <c r="N15" s="596">
        <f>+N12*N14</f>
        <v>47.170321649999991</v>
      </c>
      <c r="O15" s="596">
        <f>+O12*O14</f>
        <v>48.821282907749989</v>
      </c>
      <c r="P15" s="596">
        <f>+P12*P14</f>
        <v>50.530027809521229</v>
      </c>
      <c r="Q15" s="596">
        <f>+Q12*Q14</f>
        <v>52.29857878285447</v>
      </c>
      <c r="R15" s="596">
        <f>+R12*R14</f>
        <v>54.129029040254366</v>
      </c>
      <c r="S15" s="596">
        <f>+S12*S14</f>
        <v>56.023545056663259</v>
      </c>
      <c r="T15" s="596">
        <f>+T12*T14</f>
        <v>57.984369133646467</v>
      </c>
      <c r="U15" s="596">
        <f>+U12*U14</f>
        <v>266.72809801477376</v>
      </c>
      <c r="V15" s="596">
        <f>+V12*V14</f>
        <v>306.73731271698978</v>
      </c>
      <c r="W15" s="596">
        <f>+W12*W14</f>
        <v>352.74790962453818</v>
      </c>
      <c r="X15" s="596">
        <f>+X12*X14</f>
        <v>405.66009606821888</v>
      </c>
      <c r="Y15" s="596">
        <f>+Y12*Y14</f>
        <v>466.50911047845165</v>
      </c>
    </row>
    <row r="16" spans="1:25" s="557" customFormat="1" x14ac:dyDescent="0.2">
      <c r="A16" s="562"/>
      <c r="B16" s="607"/>
      <c r="C16" s="560"/>
      <c r="D16" s="554"/>
      <c r="E16" s="554"/>
      <c r="F16" s="554"/>
      <c r="G16" s="554"/>
      <c r="H16" s="554"/>
      <c r="I16" s="554"/>
      <c r="J16" s="554"/>
      <c r="K16" s="554"/>
      <c r="L16" s="559"/>
      <c r="M16" s="558"/>
      <c r="N16" s="558"/>
      <c r="O16" s="558"/>
      <c r="P16" s="558"/>
      <c r="Q16" s="558"/>
      <c r="R16" s="558"/>
      <c r="S16" s="558"/>
      <c r="T16" s="558"/>
      <c r="U16" s="558"/>
      <c r="V16" s="558"/>
      <c r="W16" s="558"/>
      <c r="X16" s="558"/>
      <c r="Y16" s="558"/>
    </row>
    <row r="17" spans="1:25" s="557" customFormat="1" x14ac:dyDescent="0.2">
      <c r="A17" s="562"/>
      <c r="B17" s="607" t="s">
        <v>74</v>
      </c>
      <c r="C17" s="560"/>
      <c r="D17" s="554">
        <v>223.3</v>
      </c>
      <c r="E17" s="554">
        <f>+E22-E12</f>
        <v>203.20000000000002</v>
      </c>
      <c r="F17" s="554">
        <f>+F22-F12</f>
        <v>196.8</v>
      </c>
      <c r="G17" s="554">
        <f>+G22-G12</f>
        <v>175.7</v>
      </c>
      <c r="H17" s="554">
        <f>+H22-H12</f>
        <v>164.7</v>
      </c>
      <c r="I17" s="554">
        <v>154.4</v>
      </c>
      <c r="J17" s="554">
        <f>243.2-J12</f>
        <v>144.79999999999998</v>
      </c>
      <c r="K17" s="554">
        <f>237.4-K12</f>
        <v>135.80000000000001</v>
      </c>
      <c r="L17" s="559">
        <v>130.6</v>
      </c>
      <c r="M17" s="558">
        <f>+L17*(1+M18)</f>
        <v>122.76399999999998</v>
      </c>
      <c r="N17" s="558">
        <f>+M17*(1+N18)</f>
        <v>115.39815999999998</v>
      </c>
      <c r="O17" s="558">
        <f>+N17*(1+O18)</f>
        <v>108.47427039999997</v>
      </c>
      <c r="P17" s="558">
        <f>+O17*(1+P18)</f>
        <v>101.96581417599997</v>
      </c>
      <c r="Q17" s="558">
        <f>+P17*(1+Q18)</f>
        <v>95.847865325439969</v>
      </c>
      <c r="R17" s="558">
        <f>+Q17*(1+R18)</f>
        <v>90.096993405913565</v>
      </c>
      <c r="S17" s="558">
        <f>+R17*(1+S18)</f>
        <v>84.691173801558747</v>
      </c>
      <c r="T17" s="558">
        <f>+S17*(1+T18)</f>
        <v>79.609703373465223</v>
      </c>
      <c r="U17" s="558">
        <f>(+T17*4)*(1+U18)</f>
        <v>242.01349825533427</v>
      </c>
      <c r="V17" s="558">
        <f>+U17*(1+V18)</f>
        <v>183.93025867405404</v>
      </c>
      <c r="W17" s="558">
        <f>+V17*(1+W18)</f>
        <v>139.78699659228107</v>
      </c>
      <c r="X17" s="558">
        <f>+W17*(1+X18)</f>
        <v>106.23811741013361</v>
      </c>
      <c r="Y17" s="558">
        <f>+X17*(1+Y18)</f>
        <v>106.23811741013361</v>
      </c>
    </row>
    <row r="18" spans="1:25" s="557" customFormat="1" x14ac:dyDescent="0.2">
      <c r="A18" s="562"/>
      <c r="B18" s="595" t="s">
        <v>79</v>
      </c>
      <c r="C18" s="560"/>
      <c r="D18" s="554"/>
      <c r="E18" s="606">
        <f>(+E17-D17)/D17</f>
        <v>-9.001343484102102E-2</v>
      </c>
      <c r="F18" s="606">
        <f>(+F17-E17)/E17</f>
        <v>-3.1496062992126012E-2</v>
      </c>
      <c r="G18" s="606">
        <f>(+G17-F17)/F17</f>
        <v>-0.10721544715447165</v>
      </c>
      <c r="H18" s="606">
        <f>(+H17-G17)/G17</f>
        <v>-6.2606715993170178E-2</v>
      </c>
      <c r="I18" s="606">
        <f>(+I17-H17)/H17</f>
        <v>-6.2537947783849329E-2</v>
      </c>
      <c r="J18" s="606">
        <f>(+J17-I17)/I17</f>
        <v>-6.2176165803108953E-2</v>
      </c>
      <c r="K18" s="606">
        <f>(+K17-J17)/J17</f>
        <v>-6.2154696132596499E-2</v>
      </c>
      <c r="L18" s="605">
        <f>(+L17-K17)/K17</f>
        <v>-3.8291605301914701E-2</v>
      </c>
      <c r="M18" s="604">
        <f>+M6</f>
        <v>-0.06</v>
      </c>
      <c r="N18" s="604">
        <f>+N6</f>
        <v>-0.06</v>
      </c>
      <c r="O18" s="604">
        <f>+O6</f>
        <v>-0.06</v>
      </c>
      <c r="P18" s="604">
        <f>+P6</f>
        <v>-0.06</v>
      </c>
      <c r="Q18" s="604">
        <f>+Q6</f>
        <v>-0.06</v>
      </c>
      <c r="R18" s="604">
        <f>+R6</f>
        <v>-0.06</v>
      </c>
      <c r="S18" s="604">
        <f>+S6</f>
        <v>-0.06</v>
      </c>
      <c r="T18" s="604">
        <f>+T6</f>
        <v>-0.06</v>
      </c>
      <c r="U18" s="604">
        <f>+U6</f>
        <v>-0.24</v>
      </c>
      <c r="V18" s="604">
        <f>+V6</f>
        <v>-0.24</v>
      </c>
      <c r="W18" s="604">
        <f>+W6</f>
        <v>-0.24</v>
      </c>
      <c r="X18" s="604">
        <f>+X6</f>
        <v>-0.24</v>
      </c>
      <c r="Y18" s="604">
        <f>+Y6</f>
        <v>0</v>
      </c>
    </row>
    <row r="19" spans="1:25" s="598" customFormat="1" x14ac:dyDescent="0.2">
      <c r="A19" s="603"/>
      <c r="B19" s="602" t="s">
        <v>122</v>
      </c>
      <c r="C19" s="601"/>
      <c r="D19" s="599">
        <v>0.5</v>
      </c>
      <c r="E19" s="599">
        <f>+E20/E17</f>
        <v>0.54940944881889753</v>
      </c>
      <c r="F19" s="599">
        <f>+F20/F17</f>
        <v>0.55548780487804872</v>
      </c>
      <c r="G19" s="599">
        <f>+G20/G17</f>
        <v>0.55913488901536723</v>
      </c>
      <c r="H19" s="599">
        <f>+H20/H17</f>
        <v>0.55979659987856722</v>
      </c>
      <c r="I19" s="599">
        <f>+I20/I17</f>
        <v>0.4726230569948186</v>
      </c>
      <c r="J19" s="599">
        <v>0.45500000000000002</v>
      </c>
      <c r="K19" s="599">
        <v>0.438</v>
      </c>
      <c r="L19" s="600">
        <v>0.38500000000000001</v>
      </c>
      <c r="M19" s="599">
        <v>0.42</v>
      </c>
      <c r="N19" s="599">
        <f>+M19</f>
        <v>0.42</v>
      </c>
      <c r="O19" s="599">
        <f>+N19</f>
        <v>0.42</v>
      </c>
      <c r="P19" s="599">
        <f>+O19</f>
        <v>0.42</v>
      </c>
      <c r="Q19" s="599">
        <v>0.4</v>
      </c>
      <c r="R19" s="599">
        <f>+Q19</f>
        <v>0.4</v>
      </c>
      <c r="S19" s="599">
        <f>+R19</f>
        <v>0.4</v>
      </c>
      <c r="T19" s="599">
        <f>+S19</f>
        <v>0.4</v>
      </c>
      <c r="U19" s="599">
        <f>+T19</f>
        <v>0.4</v>
      </c>
      <c r="V19" s="599">
        <f>+U19</f>
        <v>0.4</v>
      </c>
      <c r="W19" s="599">
        <f>+V19</f>
        <v>0.4</v>
      </c>
      <c r="X19" s="599">
        <f>+W19</f>
        <v>0.4</v>
      </c>
      <c r="Y19" s="599">
        <f>+X19</f>
        <v>0.4</v>
      </c>
    </row>
    <row r="20" spans="1:25" s="557" customFormat="1" x14ac:dyDescent="0.2">
      <c r="A20" s="562"/>
      <c r="B20" s="563" t="s">
        <v>77</v>
      </c>
      <c r="C20" s="560"/>
      <c r="D20" s="596">
        <f>+D17*D19</f>
        <v>111.65</v>
      </c>
      <c r="E20" s="596">
        <f>+E23-E15</f>
        <v>111.63999999999999</v>
      </c>
      <c r="F20" s="596">
        <f>+F23-F15</f>
        <v>109.32</v>
      </c>
      <c r="G20" s="596">
        <f>+G23-G15</f>
        <v>98.240000000000009</v>
      </c>
      <c r="H20" s="596">
        <f>+H23-H15</f>
        <v>92.19850000000001</v>
      </c>
      <c r="I20" s="596">
        <f>+I23-I15</f>
        <v>72.972999999999999</v>
      </c>
      <c r="J20" s="596">
        <f>+J17*J19</f>
        <v>65.884</v>
      </c>
      <c r="K20" s="596">
        <f>+K17*K19</f>
        <v>59.480400000000003</v>
      </c>
      <c r="L20" s="597">
        <f>+L17*L19</f>
        <v>50.280999999999999</v>
      </c>
      <c r="M20" s="596">
        <f>+M17*M19</f>
        <v>51.56087999999999</v>
      </c>
      <c r="N20" s="596">
        <f>+N17*N19</f>
        <v>48.467227199999989</v>
      </c>
      <c r="O20" s="596">
        <f>+O17*O19</f>
        <v>45.559193567999984</v>
      </c>
      <c r="P20" s="596">
        <f>+P17*P19</f>
        <v>42.825641953919984</v>
      </c>
      <c r="Q20" s="596">
        <f>+Q17*Q19</f>
        <v>38.33914613017599</v>
      </c>
      <c r="R20" s="596">
        <f>+R17*R19</f>
        <v>36.038797362365429</v>
      </c>
      <c r="S20" s="596">
        <f>+S17*S19</f>
        <v>33.876469520623502</v>
      </c>
      <c r="T20" s="596">
        <f>+T17*T19</f>
        <v>31.843881349386091</v>
      </c>
      <c r="U20" s="596">
        <f>+U17*U19</f>
        <v>96.805399302133708</v>
      </c>
      <c r="V20" s="596">
        <f>+V17*V19</f>
        <v>73.572103469621624</v>
      </c>
      <c r="W20" s="596">
        <f>+W17*W19</f>
        <v>55.91479863691243</v>
      </c>
      <c r="X20" s="596">
        <f>+X17*X19</f>
        <v>42.49524696405345</v>
      </c>
      <c r="Y20" s="596">
        <f>+Y17*Y19</f>
        <v>42.49524696405345</v>
      </c>
    </row>
    <row r="21" spans="1:25" s="557" customFormat="1" x14ac:dyDescent="0.2">
      <c r="A21" s="562"/>
      <c r="B21" s="595"/>
      <c r="C21" s="560"/>
      <c r="D21" s="564"/>
      <c r="E21" s="564"/>
      <c r="F21" s="564"/>
      <c r="G21" s="564"/>
      <c r="H21" s="564"/>
      <c r="I21" s="564"/>
      <c r="J21" s="564"/>
      <c r="K21" s="564"/>
      <c r="L21" s="565"/>
      <c r="M21" s="564"/>
      <c r="N21" s="564"/>
      <c r="O21" s="564"/>
      <c r="P21" s="564"/>
      <c r="Q21" s="564"/>
      <c r="R21" s="564"/>
      <c r="S21" s="564"/>
      <c r="T21" s="564"/>
      <c r="U21" s="564"/>
      <c r="V21" s="564"/>
      <c r="W21" s="564"/>
      <c r="X21" s="564"/>
      <c r="Y21" s="564"/>
    </row>
    <row r="22" spans="1:25" s="557" customFormat="1" x14ac:dyDescent="0.2">
      <c r="A22" s="562"/>
      <c r="B22" s="563" t="s">
        <v>80</v>
      </c>
      <c r="C22" s="560"/>
      <c r="D22" s="554">
        <f>+D12+D17</f>
        <v>313.3</v>
      </c>
      <c r="E22" s="554">
        <v>289.10000000000002</v>
      </c>
      <c r="F22" s="554">
        <v>286.5</v>
      </c>
      <c r="G22" s="554">
        <v>267.7</v>
      </c>
      <c r="H22" s="554">
        <v>264.39999999999998</v>
      </c>
      <c r="I22" s="554">
        <f>+I12+I17</f>
        <v>253.3</v>
      </c>
      <c r="J22" s="554">
        <f>+J12+J17</f>
        <v>243.2</v>
      </c>
      <c r="K22" s="554">
        <f>+K12+K17</f>
        <v>237.4</v>
      </c>
      <c r="L22" s="559">
        <f>+L12+L17</f>
        <v>238</v>
      </c>
      <c r="M22" s="558">
        <f>+M12+M17</f>
        <v>233.92299999999997</v>
      </c>
      <c r="N22" s="558">
        <f>+N12+N17</f>
        <v>230.44772499999996</v>
      </c>
      <c r="O22" s="558">
        <f>+O12+O17</f>
        <v>227.55057017499996</v>
      </c>
      <c r="P22" s="558">
        <f>+P12+P17</f>
        <v>225.20978444312493</v>
      </c>
      <c r="Q22" s="558">
        <f>+Q12+Q17</f>
        <v>223.40537455191429</v>
      </c>
      <c r="R22" s="558">
        <f>+R12+R17</f>
        <v>222.11901545531447</v>
      </c>
      <c r="S22" s="558">
        <f>+S12+S17</f>
        <v>221.33396662268865</v>
      </c>
      <c r="T22" s="558">
        <f>+T12+T17</f>
        <v>221.03499394333465</v>
      </c>
      <c r="U22" s="558">
        <f>+U12+U17</f>
        <v>892.56983487673369</v>
      </c>
      <c r="V22" s="558">
        <f>+V12+V17</f>
        <v>932.07004578866326</v>
      </c>
      <c r="W22" s="558">
        <f>+W12+W17</f>
        <v>1000.1477517740816</v>
      </c>
      <c r="X22" s="558">
        <f>+X12+X17</f>
        <v>1095.652985869204</v>
      </c>
      <c r="Y22" s="558">
        <f>+Y12+Y17</f>
        <v>1244.0652161380644</v>
      </c>
    </row>
    <row r="23" spans="1:25" s="563" customFormat="1" ht="13.5" thickBot="1" x14ac:dyDescent="0.25">
      <c r="A23" s="527" t="s">
        <v>15</v>
      </c>
      <c r="B23" s="527" t="s">
        <v>112</v>
      </c>
      <c r="C23" s="584"/>
      <c r="D23" s="592">
        <f>+D15+D20</f>
        <v>147.11000000000001</v>
      </c>
      <c r="E23" s="592">
        <v>146</v>
      </c>
      <c r="F23" s="592">
        <v>145.19999999999999</v>
      </c>
      <c r="G23" s="592">
        <v>137.80000000000001</v>
      </c>
      <c r="H23" s="592">
        <v>141.55000000000001</v>
      </c>
      <c r="I23" s="592">
        <v>115.5</v>
      </c>
      <c r="J23" s="592">
        <f>+J15+J20</f>
        <v>107.212</v>
      </c>
      <c r="K23" s="594">
        <f>+K15+K20</f>
        <v>102.05080000000001</v>
      </c>
      <c r="L23" s="593">
        <f>+L15+L20</f>
        <v>91.254099999999994</v>
      </c>
      <c r="M23" s="592">
        <f>+M15+M20</f>
        <v>97.136069999999989</v>
      </c>
      <c r="N23" s="592">
        <f>+N15+N20</f>
        <v>95.637548849999973</v>
      </c>
      <c r="O23" s="592">
        <f>+O15+O20</f>
        <v>94.380476475749973</v>
      </c>
      <c r="P23" s="592">
        <f>+P15+P20</f>
        <v>93.355669763441213</v>
      </c>
      <c r="Q23" s="592">
        <f>+Q15+Q20</f>
        <v>90.637724913030468</v>
      </c>
      <c r="R23" s="592">
        <f>+R15+R20</f>
        <v>90.167826402619795</v>
      </c>
      <c r="S23" s="592">
        <f>+S15+S20</f>
        <v>89.900014577286754</v>
      </c>
      <c r="T23" s="592">
        <f>+T15+T20</f>
        <v>89.828250483032562</v>
      </c>
      <c r="U23" s="592">
        <f>+U15+U20</f>
        <v>363.53349731690747</v>
      </c>
      <c r="V23" s="592">
        <f>+V15+V20</f>
        <v>380.30941618661143</v>
      </c>
      <c r="W23" s="592">
        <f>+W15+W20</f>
        <v>408.66270826145063</v>
      </c>
      <c r="X23" s="592">
        <f>+X15+X20</f>
        <v>448.1553430322723</v>
      </c>
      <c r="Y23" s="592">
        <f>+Y15+Y20</f>
        <v>509.00435744250512</v>
      </c>
    </row>
    <row r="24" spans="1:25" s="563" customFormat="1" ht="13.5" thickTop="1" x14ac:dyDescent="0.2">
      <c r="A24" s="527"/>
      <c r="B24" s="563" t="s">
        <v>81</v>
      </c>
      <c r="C24" s="584"/>
      <c r="D24" s="591">
        <f>+D23/D22</f>
        <v>0.46954995212256628</v>
      </c>
      <c r="E24" s="586">
        <f>+E23/E22</f>
        <v>0.50501556554825311</v>
      </c>
      <c r="F24" s="586">
        <f>+F23/F22</f>
        <v>0.50680628272251305</v>
      </c>
      <c r="G24" s="586">
        <f>+G23/G22</f>
        <v>0.51475532312289884</v>
      </c>
      <c r="H24" s="586">
        <f>+H23/H22</f>
        <v>0.53536308623298046</v>
      </c>
      <c r="I24" s="590">
        <f>+I23/I22</f>
        <v>0.45598105013817608</v>
      </c>
      <c r="J24" s="590">
        <f>+J23/J22</f>
        <v>0.4408388157894737</v>
      </c>
      <c r="K24" s="590">
        <f>+K23/K22</f>
        <v>0.42986857624262853</v>
      </c>
      <c r="L24" s="589">
        <f>+L23/L22</f>
        <v>0.38342058823529407</v>
      </c>
      <c r="M24" s="588">
        <f>+M23/M22</f>
        <v>0.41524805170932316</v>
      </c>
      <c r="N24" s="588">
        <f>+N23/N22</f>
        <v>0.41500756342897283</v>
      </c>
      <c r="O24" s="588">
        <f>+O23/O22</f>
        <v>0.41476704014921062</v>
      </c>
      <c r="P24" s="588">
        <f>+P23/P22</f>
        <v>0.41452759254790505</v>
      </c>
      <c r="Q24" s="587">
        <f>+Q23/Q22</f>
        <v>0.4057096884746984</v>
      </c>
      <c r="R24" s="587">
        <f>+R23/R22</f>
        <v>0.40594375145139072</v>
      </c>
      <c r="S24" s="587">
        <f>+S23/S22</f>
        <v>0.40617360249337897</v>
      </c>
      <c r="T24" s="587">
        <f>+T23/T22</f>
        <v>0.40639832128147663</v>
      </c>
      <c r="U24" s="586">
        <f>+U23/U22</f>
        <v>0.4072885763242407</v>
      </c>
      <c r="V24" s="587">
        <f>+V23/V22</f>
        <v>0.40802664768055691</v>
      </c>
      <c r="W24" s="586">
        <f>+W23/W22</f>
        <v>0.40860233654133277</v>
      </c>
      <c r="X24" s="587">
        <f>+X23/X22</f>
        <v>0.40903036710728391</v>
      </c>
      <c r="Y24" s="586">
        <f>+Y23/Y22</f>
        <v>0.40914604060918991</v>
      </c>
    </row>
    <row r="25" spans="1:25" s="557" customFormat="1" x14ac:dyDescent="0.2">
      <c r="A25" s="562"/>
      <c r="B25" s="585"/>
      <c r="C25" s="560"/>
      <c r="D25" s="580"/>
      <c r="E25" s="580"/>
      <c r="F25" s="580"/>
      <c r="G25" s="580"/>
      <c r="H25" s="580"/>
      <c r="I25" s="580"/>
      <c r="J25" s="580"/>
      <c r="K25" s="580"/>
      <c r="L25" s="559"/>
    </row>
    <row r="26" spans="1:25" s="563" customFormat="1" x14ac:dyDescent="0.2">
      <c r="A26" s="527"/>
      <c r="B26" s="567"/>
      <c r="C26" s="584"/>
      <c r="D26" s="564"/>
      <c r="E26" s="564"/>
      <c r="F26" s="564"/>
      <c r="G26" s="564"/>
      <c r="H26" s="564"/>
      <c r="I26" s="564"/>
      <c r="J26" s="564"/>
      <c r="K26" s="564"/>
      <c r="L26" s="565"/>
      <c r="M26" s="564"/>
      <c r="N26" s="564"/>
      <c r="O26" s="564"/>
      <c r="P26" s="564"/>
      <c r="Q26" s="564"/>
      <c r="R26" s="564"/>
      <c r="S26" s="564"/>
      <c r="T26" s="564"/>
      <c r="U26" s="564"/>
      <c r="V26" s="564"/>
      <c r="W26" s="564"/>
      <c r="X26" s="564"/>
      <c r="Y26" s="564"/>
    </row>
    <row r="27" spans="1:25" s="557" customFormat="1" x14ac:dyDescent="0.2">
      <c r="A27" s="562"/>
      <c r="B27" s="583" t="s">
        <v>47</v>
      </c>
      <c r="C27" s="580"/>
      <c r="D27" s="554"/>
      <c r="E27" s="554"/>
      <c r="F27" s="554"/>
      <c r="G27" s="554"/>
      <c r="H27" s="554"/>
      <c r="I27" s="554"/>
      <c r="J27" s="554"/>
      <c r="K27" s="554"/>
      <c r="L27" s="559"/>
      <c r="M27" s="558"/>
      <c r="N27" s="558"/>
      <c r="O27" s="558"/>
      <c r="P27" s="558"/>
      <c r="Q27" s="558"/>
      <c r="R27" s="558"/>
      <c r="S27" s="558"/>
      <c r="T27" s="558"/>
      <c r="U27" s="462"/>
      <c r="V27" s="558"/>
      <c r="W27" s="558"/>
      <c r="X27" s="558"/>
      <c r="Y27" s="558"/>
    </row>
    <row r="28" spans="1:25" s="557" customFormat="1" x14ac:dyDescent="0.2">
      <c r="A28" s="562"/>
      <c r="B28" s="567" t="s">
        <v>17</v>
      </c>
      <c r="C28" s="580"/>
      <c r="D28" s="554"/>
      <c r="E28" s="554"/>
      <c r="F28" s="554"/>
      <c r="G28" s="554"/>
      <c r="H28" s="554"/>
      <c r="I28" s="554"/>
      <c r="J28" s="554"/>
      <c r="K28" s="554"/>
      <c r="L28" s="559"/>
      <c r="M28" s="558"/>
      <c r="N28" s="558"/>
      <c r="O28" s="558"/>
      <c r="P28" s="558"/>
      <c r="Q28" s="558"/>
      <c r="R28" s="558"/>
      <c r="S28" s="558"/>
      <c r="T28" s="558"/>
      <c r="U28" s="558"/>
      <c r="V28" s="558"/>
      <c r="W28" s="558"/>
      <c r="X28" s="558"/>
      <c r="Y28" s="558"/>
    </row>
    <row r="29" spans="1:25" s="557" customFormat="1" x14ac:dyDescent="0.2">
      <c r="A29" s="562"/>
      <c r="B29" s="553" t="s">
        <v>89</v>
      </c>
      <c r="C29" s="580"/>
      <c r="D29" s="554">
        <v>3.3250000000000002</v>
      </c>
      <c r="E29" s="554">
        <v>2.0699999999999998</v>
      </c>
      <c r="F29" s="554">
        <v>1.7825</v>
      </c>
      <c r="G29" s="554">
        <v>1.4950000000000001</v>
      </c>
      <c r="H29" s="554">
        <v>1.2075</v>
      </c>
      <c r="I29" s="554"/>
      <c r="J29" s="554"/>
      <c r="K29" s="554"/>
      <c r="L29" s="559"/>
      <c r="M29" s="558"/>
      <c r="N29" s="558"/>
      <c r="O29" s="558"/>
      <c r="P29" s="558"/>
      <c r="Q29" s="558"/>
      <c r="R29" s="558"/>
      <c r="S29" s="558"/>
      <c r="T29" s="558"/>
      <c r="U29" s="558"/>
      <c r="V29" s="558"/>
      <c r="W29" s="558"/>
      <c r="X29" s="558"/>
      <c r="Y29" s="558"/>
    </row>
    <row r="30" spans="1:25" s="557" customFormat="1" x14ac:dyDescent="0.2">
      <c r="A30" s="562"/>
      <c r="B30" s="553" t="s">
        <v>90</v>
      </c>
      <c r="C30" s="580"/>
      <c r="D30" s="554"/>
      <c r="E30" s="554">
        <v>2.629</v>
      </c>
      <c r="F30" s="554">
        <v>2.629</v>
      </c>
      <c r="G30" s="554">
        <v>2.629</v>
      </c>
      <c r="H30" s="554">
        <v>2.629</v>
      </c>
      <c r="I30" s="554"/>
      <c r="J30" s="554"/>
      <c r="K30" s="554"/>
      <c r="L30" s="559"/>
      <c r="M30" s="558"/>
      <c r="N30" s="558"/>
      <c r="O30" s="558"/>
      <c r="P30" s="558"/>
      <c r="Q30" s="558"/>
      <c r="R30" s="558"/>
      <c r="S30" s="558"/>
      <c r="T30" s="558"/>
      <c r="U30" s="558"/>
      <c r="V30" s="558"/>
      <c r="W30" s="558"/>
      <c r="X30" s="558"/>
      <c r="Y30" s="558"/>
    </row>
    <row r="31" spans="1:25" s="557" customFormat="1" x14ac:dyDescent="0.2">
      <c r="A31" s="562"/>
      <c r="B31" s="553" t="s">
        <v>25</v>
      </c>
      <c r="C31" s="582"/>
      <c r="D31" s="554">
        <v>0</v>
      </c>
      <c r="E31" s="554">
        <v>0</v>
      </c>
      <c r="F31" s="554"/>
      <c r="G31" s="554"/>
      <c r="H31" s="554"/>
      <c r="I31" s="554"/>
      <c r="J31" s="554"/>
      <c r="K31" s="554"/>
      <c r="L31" s="559"/>
      <c r="M31" s="558"/>
      <c r="N31" s="558"/>
      <c r="O31" s="558"/>
      <c r="P31" s="558"/>
      <c r="Q31" s="558"/>
      <c r="R31" s="558"/>
      <c r="S31" s="558"/>
      <c r="T31" s="558"/>
      <c r="U31" s="558"/>
      <c r="V31" s="558"/>
      <c r="W31" s="558"/>
      <c r="X31" s="558"/>
      <c r="Y31" s="558"/>
    </row>
    <row r="32" spans="1:25" s="557" customFormat="1" x14ac:dyDescent="0.2">
      <c r="A32" s="562"/>
      <c r="B32" s="553" t="s">
        <v>34</v>
      </c>
      <c r="C32" s="580"/>
      <c r="D32" s="554">
        <v>2.875</v>
      </c>
      <c r="E32" s="554">
        <v>2.875</v>
      </c>
      <c r="F32" s="554">
        <v>2.875</v>
      </c>
      <c r="G32" s="554">
        <v>2.875</v>
      </c>
      <c r="H32" s="554">
        <v>2.875</v>
      </c>
      <c r="I32" s="554"/>
      <c r="J32" s="554"/>
      <c r="K32" s="554"/>
      <c r="L32" s="559"/>
      <c r="M32" s="558"/>
      <c r="N32" s="558"/>
      <c r="O32" s="558"/>
      <c r="P32" s="558"/>
      <c r="Q32" s="558"/>
      <c r="R32" s="558"/>
      <c r="S32" s="558"/>
      <c r="T32" s="558"/>
      <c r="U32" s="558"/>
      <c r="V32" s="558"/>
      <c r="W32" s="558"/>
      <c r="X32" s="558"/>
      <c r="Y32" s="558"/>
    </row>
    <row r="33" spans="1:25" s="557" customFormat="1" x14ac:dyDescent="0.2">
      <c r="A33" s="562"/>
      <c r="B33" s="541" t="s">
        <v>14</v>
      </c>
      <c r="C33" s="580"/>
      <c r="D33" s="554">
        <v>29.359500000000001</v>
      </c>
      <c r="E33" s="554">
        <v>25.359500000000001</v>
      </c>
      <c r="F33" s="554">
        <v>19.759499999999999</v>
      </c>
      <c r="G33" s="554">
        <v>27.929500000000001</v>
      </c>
      <c r="H33" s="554">
        <v>22.459499999999998</v>
      </c>
      <c r="I33" s="554"/>
      <c r="J33" s="554"/>
      <c r="K33" s="554"/>
      <c r="L33" s="559"/>
      <c r="M33" s="558"/>
      <c r="N33" s="558"/>
      <c r="O33" s="558"/>
      <c r="P33" s="558"/>
      <c r="Q33" s="558"/>
      <c r="R33" s="558"/>
      <c r="S33" s="558"/>
      <c r="T33" s="558"/>
      <c r="U33" s="558"/>
      <c r="V33" s="558"/>
      <c r="W33" s="558"/>
      <c r="X33" s="558"/>
      <c r="Y33" s="558"/>
    </row>
    <row r="34" spans="1:25" s="557" customFormat="1" x14ac:dyDescent="0.2">
      <c r="A34" s="562"/>
      <c r="B34" s="541"/>
      <c r="C34" s="580"/>
      <c r="D34" s="554"/>
      <c r="E34" s="554"/>
      <c r="F34" s="554"/>
      <c r="G34" s="554"/>
      <c r="H34" s="554"/>
      <c r="I34" s="554"/>
      <c r="J34" s="554"/>
      <c r="K34" s="554"/>
      <c r="L34" s="559"/>
      <c r="M34" s="558"/>
      <c r="N34" s="558"/>
      <c r="O34" s="558"/>
      <c r="P34" s="558"/>
      <c r="Q34" s="558"/>
      <c r="R34" s="558"/>
      <c r="S34" s="558"/>
      <c r="T34" s="558"/>
      <c r="U34" s="558"/>
      <c r="V34" s="558"/>
      <c r="W34" s="558"/>
      <c r="X34" s="558"/>
      <c r="Y34" s="558"/>
    </row>
    <row r="35" spans="1:25" s="557" customFormat="1" x14ac:dyDescent="0.2">
      <c r="A35" s="562"/>
      <c r="B35" s="541" t="s">
        <v>134</v>
      </c>
      <c r="C35" s="580"/>
      <c r="D35" s="554"/>
      <c r="E35" s="554"/>
      <c r="F35" s="554"/>
      <c r="G35" s="554"/>
      <c r="H35" s="554"/>
      <c r="I35" s="554">
        <f>14-I36</f>
        <v>14</v>
      </c>
      <c r="J35" s="554">
        <f>22.4-J36</f>
        <v>18.119999999999997</v>
      </c>
      <c r="K35" s="554">
        <f>(+J81-107.5)*(0.0925/4)</f>
        <v>17.4385625</v>
      </c>
      <c r="L35" s="559">
        <f>-SUM(I35:K35)+76.13-4.3-4.3</f>
        <v>17.9714375</v>
      </c>
      <c r="M35" s="558">
        <f>(+L81-107.5)*(0.0925/4)</f>
        <v>14.494750000000002</v>
      </c>
      <c r="N35" s="558">
        <f>(+M81-107.5)*(0.0925/4)</f>
        <v>14.494750000000002</v>
      </c>
      <c r="O35" s="558">
        <f>(+N81-107.5)*(0.0925/4)</f>
        <v>12.820402022265625</v>
      </c>
      <c r="P35" s="558">
        <f>(+O81-107.5)*(0.0925/4)</f>
        <v>12.820402022265625</v>
      </c>
      <c r="Q35" s="558">
        <f>(+P81-107.5)*(0.0925/4)</f>
        <v>11.46025531340832</v>
      </c>
      <c r="R35" s="558">
        <f>(+Q81-107.5)*(0.0925/4)</f>
        <v>11.46025531340832</v>
      </c>
      <c r="S35" s="558">
        <f>(+R81-107.5)*(0.0925/4)</f>
        <v>10.073921900153859</v>
      </c>
      <c r="T35" s="558">
        <f>(+S81-107.5)*(0.0925/4)</f>
        <v>10.073921900153859</v>
      </c>
      <c r="U35" s="558">
        <f>(+T81-107.5)*(0.0925)</f>
        <v>32.716214676825295</v>
      </c>
      <c r="V35" s="558">
        <f>(+U81-107.5)*(0.0925)</f>
        <v>18.201765693669593</v>
      </c>
      <c r="W35" s="558"/>
      <c r="X35" s="558"/>
      <c r="Y35" s="558"/>
    </row>
    <row r="36" spans="1:25" s="557" customFormat="1" x14ac:dyDescent="0.2">
      <c r="A36" s="562"/>
      <c r="B36" s="541" t="s">
        <v>135</v>
      </c>
      <c r="C36" s="580"/>
      <c r="D36" s="554"/>
      <c r="E36" s="554"/>
      <c r="F36" s="554"/>
      <c r="G36" s="554"/>
      <c r="H36" s="554"/>
      <c r="I36" s="554"/>
      <c r="J36" s="554">
        <f>107*0.04</f>
        <v>4.28</v>
      </c>
      <c r="K36" s="554"/>
      <c r="L36" s="559">
        <f>107*0.04</f>
        <v>4.28</v>
      </c>
      <c r="M36" s="558"/>
      <c r="N36" s="558">
        <f>107*0.04</f>
        <v>4.28</v>
      </c>
      <c r="O36" s="558"/>
      <c r="P36" s="558">
        <f>+N36</f>
        <v>4.28</v>
      </c>
      <c r="Q36" s="558"/>
      <c r="R36" s="558">
        <f>+P36</f>
        <v>4.28</v>
      </c>
      <c r="S36" s="558"/>
      <c r="T36" s="558">
        <f>+R36</f>
        <v>4.28</v>
      </c>
      <c r="U36" s="558">
        <f>107.5*0.08</f>
        <v>8.6</v>
      </c>
      <c r="V36" s="558">
        <f>107.5*0.08</f>
        <v>8.6</v>
      </c>
      <c r="W36" s="558">
        <f>107.5*0.08</f>
        <v>8.6</v>
      </c>
      <c r="X36" s="558">
        <f>107.5*0.08</f>
        <v>8.6</v>
      </c>
      <c r="Y36" s="558">
        <f>107.5*0.08</f>
        <v>8.6</v>
      </c>
    </row>
    <row r="37" spans="1:25" s="557" customFormat="1" x14ac:dyDescent="0.2">
      <c r="A37" s="562"/>
      <c r="B37" s="541"/>
      <c r="C37" s="580"/>
      <c r="D37" s="554"/>
      <c r="E37" s="554"/>
      <c r="F37" s="554"/>
      <c r="G37" s="554"/>
      <c r="H37" s="554"/>
      <c r="I37" s="554"/>
      <c r="J37" s="554"/>
      <c r="K37" s="554"/>
      <c r="L37" s="559"/>
      <c r="M37" s="558"/>
      <c r="N37" s="558"/>
      <c r="O37" s="558"/>
      <c r="P37" s="558"/>
      <c r="Q37" s="558"/>
      <c r="R37" s="558"/>
      <c r="S37" s="558"/>
      <c r="T37" s="558"/>
      <c r="U37" s="558"/>
      <c r="V37" s="558"/>
      <c r="W37" s="558"/>
      <c r="X37" s="558"/>
      <c r="Y37" s="558"/>
    </row>
    <row r="38" spans="1:25" s="557" customFormat="1" x14ac:dyDescent="0.2">
      <c r="A38" s="562" t="s">
        <v>119</v>
      </c>
      <c r="B38" s="541" t="s">
        <v>115</v>
      </c>
      <c r="C38" s="580"/>
      <c r="D38" s="554"/>
      <c r="E38" s="554">
        <v>1.9</v>
      </c>
      <c r="F38" s="554">
        <f>7.4-E38</f>
        <v>5.5</v>
      </c>
      <c r="G38" s="554"/>
      <c r="H38" s="554">
        <v>17.899999999999999</v>
      </c>
      <c r="I38" s="554">
        <f>5.6+0.15</f>
        <v>5.75</v>
      </c>
      <c r="J38" s="554">
        <v>0</v>
      </c>
      <c r="K38" s="554"/>
      <c r="L38" s="559">
        <v>1.7</v>
      </c>
      <c r="M38" s="558"/>
      <c r="N38" s="558"/>
      <c r="O38" s="558"/>
      <c r="P38" s="558"/>
      <c r="Q38" s="558"/>
      <c r="R38" s="558"/>
      <c r="S38" s="558"/>
      <c r="T38" s="558"/>
      <c r="U38" s="558"/>
      <c r="V38" s="558"/>
      <c r="W38" s="558"/>
      <c r="X38" s="558"/>
      <c r="Y38" s="558"/>
    </row>
    <row r="39" spans="1:25" s="557" customFormat="1" x14ac:dyDescent="0.2">
      <c r="A39" s="562"/>
      <c r="B39" s="567"/>
      <c r="C39" s="580"/>
      <c r="D39" s="554"/>
      <c r="E39" s="554"/>
      <c r="F39" s="554"/>
      <c r="G39" s="554"/>
      <c r="H39" s="554"/>
      <c r="I39" s="554"/>
      <c r="J39" s="554"/>
      <c r="K39" s="554"/>
      <c r="L39" s="559"/>
      <c r="M39" s="558"/>
      <c r="N39" s="558"/>
      <c r="O39" s="558"/>
      <c r="P39" s="558"/>
      <c r="Q39" s="558"/>
      <c r="R39" s="558"/>
      <c r="S39" s="558"/>
      <c r="T39" s="558"/>
      <c r="U39" s="558"/>
      <c r="V39" s="558"/>
      <c r="W39" s="558"/>
      <c r="X39" s="558"/>
      <c r="Y39" s="558"/>
    </row>
    <row r="40" spans="1:25" s="557" customFormat="1" x14ac:dyDescent="0.2">
      <c r="A40" s="562"/>
      <c r="B40" s="567" t="s">
        <v>117</v>
      </c>
      <c r="C40" s="580"/>
      <c r="D40" s="554">
        <v>27.3</v>
      </c>
      <c r="E40" s="581">
        <v>29.8</v>
      </c>
      <c r="F40" s="554">
        <v>31.7</v>
      </c>
      <c r="G40" s="554">
        <v>5.6</v>
      </c>
      <c r="H40" s="554">
        <f>63.5-(E40+F40+G40)</f>
        <v>-3.5999999999999943</v>
      </c>
      <c r="I40" s="554">
        <v>16</v>
      </c>
      <c r="J40" s="554">
        <f>21.3-I40</f>
        <v>5.3000000000000007</v>
      </c>
      <c r="K40" s="554">
        <f>19.84-21.3</f>
        <v>-1.4600000000000009</v>
      </c>
      <c r="L40" s="559">
        <f>-SUM(H40:J40)+16.2</f>
        <v>-1.5000000000000071</v>
      </c>
      <c r="M40" s="558">
        <v>25</v>
      </c>
      <c r="N40" s="558">
        <v>25</v>
      </c>
      <c r="O40" s="558">
        <v>25</v>
      </c>
      <c r="P40" s="558">
        <v>25</v>
      </c>
      <c r="Q40" s="558">
        <v>7.5</v>
      </c>
      <c r="R40" s="558">
        <v>7.5</v>
      </c>
      <c r="S40" s="558">
        <v>7.5</v>
      </c>
      <c r="T40" s="558">
        <v>7.5</v>
      </c>
      <c r="U40" s="558">
        <v>50</v>
      </c>
      <c r="V40" s="558">
        <f>+U40</f>
        <v>50</v>
      </c>
      <c r="W40" s="558">
        <f>+V40</f>
        <v>50</v>
      </c>
      <c r="X40" s="558">
        <f>+W40</f>
        <v>50</v>
      </c>
      <c r="Y40" s="558">
        <f>+X40</f>
        <v>50</v>
      </c>
    </row>
    <row r="41" spans="1:25" s="557" customFormat="1" x14ac:dyDescent="0.2">
      <c r="A41" s="562"/>
      <c r="C41" s="580"/>
      <c r="D41" s="554"/>
      <c r="E41" s="554"/>
      <c r="F41" s="554"/>
      <c r="G41" s="554"/>
      <c r="H41" s="554"/>
      <c r="I41" s="554"/>
      <c r="J41" s="554"/>
      <c r="K41" s="554"/>
      <c r="L41" s="559"/>
      <c r="M41" s="558"/>
      <c r="N41" s="558"/>
      <c r="O41" s="558"/>
      <c r="P41" s="558"/>
      <c r="Q41" s="558"/>
      <c r="R41" s="558"/>
      <c r="S41" s="558"/>
      <c r="T41" s="558"/>
      <c r="U41" s="558"/>
      <c r="V41" s="558"/>
      <c r="W41" s="558"/>
      <c r="X41" s="558"/>
      <c r="Y41" s="558"/>
    </row>
    <row r="42" spans="1:25" s="557" customFormat="1" x14ac:dyDescent="0.2">
      <c r="A42" s="562"/>
      <c r="B42" s="567" t="s">
        <v>71</v>
      </c>
      <c r="C42" s="580"/>
      <c r="D42" s="554">
        <v>14.7</v>
      </c>
      <c r="E42" s="554">
        <v>8.1999999999999993</v>
      </c>
      <c r="F42" s="554">
        <f>16.9-E42</f>
        <v>8.6999999999999993</v>
      </c>
      <c r="G42" s="554">
        <f>-SUM(E42:F42)+24.8</f>
        <v>7.9000000000000021</v>
      </c>
      <c r="H42" s="554">
        <v>15.4</v>
      </c>
      <c r="I42" s="554">
        <v>18.7</v>
      </c>
      <c r="J42" s="554">
        <f>40.3-I42</f>
        <v>21.599999999999998</v>
      </c>
      <c r="K42" s="554">
        <f>55.3-40.3</f>
        <v>15</v>
      </c>
      <c r="L42" s="559">
        <f>-SUM(I42:K42)+69.55</f>
        <v>14.25</v>
      </c>
      <c r="M42" s="558">
        <v>15</v>
      </c>
      <c r="N42" s="558">
        <f>+M42</f>
        <v>15</v>
      </c>
      <c r="O42" s="558">
        <f>+N42</f>
        <v>15</v>
      </c>
      <c r="P42" s="558">
        <f>+O42</f>
        <v>15</v>
      </c>
      <c r="Q42" s="558">
        <f>+P42</f>
        <v>15</v>
      </c>
      <c r="R42" s="558">
        <f>+Q42</f>
        <v>15</v>
      </c>
      <c r="S42" s="558">
        <f>+R42</f>
        <v>15</v>
      </c>
      <c r="T42" s="558">
        <f>+S42</f>
        <v>15</v>
      </c>
      <c r="U42" s="558">
        <v>50</v>
      </c>
      <c r="V42" s="558">
        <f>+U42</f>
        <v>50</v>
      </c>
      <c r="W42" s="558">
        <f>+V42</f>
        <v>50</v>
      </c>
      <c r="X42" s="558">
        <f>+W42</f>
        <v>50</v>
      </c>
      <c r="Y42" s="558">
        <f>+X42</f>
        <v>50</v>
      </c>
    </row>
    <row r="43" spans="1:25" s="557" customFormat="1" x14ac:dyDescent="0.2">
      <c r="A43" s="562" t="s">
        <v>119</v>
      </c>
      <c r="B43" s="567" t="s">
        <v>116</v>
      </c>
      <c r="C43" s="580"/>
      <c r="D43" s="554">
        <v>0</v>
      </c>
      <c r="E43" s="554">
        <v>13.036</v>
      </c>
      <c r="F43" s="554">
        <v>0</v>
      </c>
      <c r="G43" s="554">
        <v>3.6</v>
      </c>
      <c r="H43" s="554">
        <f>14.526-E43-F43-G43</f>
        <v>-2.11</v>
      </c>
      <c r="I43" s="554">
        <v>1.8</v>
      </c>
      <c r="J43" s="554">
        <f>3.3-I43</f>
        <v>1.4999999999999998</v>
      </c>
      <c r="K43" s="554">
        <f>4.6-3.3</f>
        <v>1.2999999999999998</v>
      </c>
      <c r="L43" s="559">
        <f>-SUM(I43:K43)+5</f>
        <v>0.40000000000000036</v>
      </c>
      <c r="M43" s="577">
        <v>13</v>
      </c>
      <c r="N43" s="558"/>
      <c r="O43" s="558"/>
      <c r="P43" s="558"/>
      <c r="Q43" s="558">
        <v>13</v>
      </c>
      <c r="R43" s="558"/>
      <c r="S43" s="558"/>
      <c r="T43" s="577">
        <v>13</v>
      </c>
      <c r="U43" s="577">
        <v>13</v>
      </c>
      <c r="V43" s="558">
        <v>0</v>
      </c>
      <c r="W43" s="558">
        <v>0</v>
      </c>
      <c r="X43" s="558">
        <v>0</v>
      </c>
      <c r="Y43" s="558">
        <v>0</v>
      </c>
    </row>
    <row r="44" spans="1:25" s="557" customFormat="1" x14ac:dyDescent="0.2">
      <c r="A44" s="562" t="s">
        <v>119</v>
      </c>
      <c r="B44" s="567" t="s">
        <v>118</v>
      </c>
      <c r="C44" s="580"/>
      <c r="D44" s="554"/>
      <c r="E44" s="554">
        <f>42.736+(315.3-310.1)</f>
        <v>47.935999999999986</v>
      </c>
      <c r="F44" s="554">
        <f>30.4-E44-0.7</f>
        <v>-18.235999999999986</v>
      </c>
      <c r="G44" s="554">
        <f>-SUM(E44:F44)+43.577</f>
        <v>13.876999999999999</v>
      </c>
      <c r="H44" s="554">
        <f>14.529-E44-F44-G44</f>
        <v>-29.047999999999995</v>
      </c>
      <c r="I44" s="554">
        <v>-12.2</v>
      </c>
      <c r="J44" s="554">
        <f>-24-I44</f>
        <v>-11.8</v>
      </c>
      <c r="K44" s="554">
        <f>-22.9+24</f>
        <v>1.1000000000000014</v>
      </c>
      <c r="L44" s="559">
        <f>-SUM(I44:K44)-50.645</f>
        <v>-27.745000000000005</v>
      </c>
      <c r="M44" s="558"/>
      <c r="N44" s="558"/>
      <c r="O44" s="558"/>
      <c r="P44" s="558"/>
      <c r="Q44" s="558"/>
      <c r="R44" s="558"/>
      <c r="S44" s="558"/>
      <c r="T44" s="558"/>
      <c r="U44" s="558"/>
      <c r="V44" s="558"/>
      <c r="W44" s="558"/>
      <c r="X44" s="558"/>
      <c r="Y44" s="558"/>
    </row>
    <row r="45" spans="1:25" s="557" customFormat="1" x14ac:dyDescent="0.2">
      <c r="A45" s="562"/>
      <c r="B45" s="567"/>
      <c r="C45" s="580"/>
      <c r="D45" s="554"/>
      <c r="E45" s="554"/>
      <c r="F45" s="554"/>
      <c r="G45" s="554"/>
      <c r="H45" s="554"/>
      <c r="I45" s="554"/>
      <c r="J45" s="554"/>
      <c r="K45" s="554"/>
      <c r="L45" s="559"/>
      <c r="M45" s="558"/>
      <c r="N45" s="558"/>
      <c r="O45" s="558"/>
      <c r="P45" s="558"/>
      <c r="Q45" s="558"/>
      <c r="R45" s="558"/>
      <c r="S45" s="558"/>
      <c r="T45" s="558"/>
      <c r="U45" s="558"/>
      <c r="V45" s="558"/>
      <c r="W45" s="558"/>
      <c r="X45" s="558"/>
      <c r="Y45" s="558"/>
    </row>
    <row r="46" spans="1:25" s="557" customFormat="1" x14ac:dyDescent="0.2">
      <c r="A46" s="562"/>
      <c r="B46" s="567"/>
      <c r="C46" s="580"/>
      <c r="D46" s="554"/>
      <c r="E46" s="554"/>
      <c r="F46" s="554"/>
      <c r="G46" s="554"/>
      <c r="H46" s="554"/>
      <c r="I46" s="554"/>
      <c r="J46" s="554"/>
      <c r="K46" s="554"/>
      <c r="L46" s="559"/>
      <c r="M46" s="558"/>
      <c r="N46" s="558"/>
      <c r="O46" s="558"/>
      <c r="P46" s="558"/>
      <c r="Q46" s="558"/>
      <c r="R46" s="558"/>
      <c r="S46" s="558"/>
      <c r="T46" s="558"/>
      <c r="U46" s="558"/>
      <c r="V46" s="558"/>
      <c r="W46" s="558"/>
      <c r="X46" s="558"/>
      <c r="Y46" s="558"/>
    </row>
    <row r="47" spans="1:25" s="557" customFormat="1" x14ac:dyDescent="0.2">
      <c r="A47" s="562"/>
      <c r="B47" s="567" t="s">
        <v>132</v>
      </c>
      <c r="C47" s="580"/>
      <c r="D47" s="554"/>
      <c r="E47" s="554"/>
      <c r="F47" s="554"/>
      <c r="G47" s="554">
        <v>26.8</v>
      </c>
      <c r="H47" s="554">
        <v>-21.2</v>
      </c>
      <c r="I47" s="554">
        <v>6.2</v>
      </c>
      <c r="J47" s="554">
        <v>0</v>
      </c>
      <c r="K47" s="554"/>
      <c r="L47" s="559">
        <f>23.3-I47</f>
        <v>17.100000000000001</v>
      </c>
      <c r="M47" s="558"/>
      <c r="N47" s="558"/>
      <c r="O47" s="558"/>
      <c r="P47" s="558"/>
      <c r="Q47" s="558"/>
      <c r="R47" s="558"/>
      <c r="S47" s="558"/>
      <c r="T47" s="558"/>
      <c r="U47" s="558"/>
      <c r="V47" s="558"/>
      <c r="W47" s="558"/>
      <c r="X47" s="558"/>
      <c r="Y47" s="558"/>
    </row>
    <row r="48" spans="1:25" s="557" customFormat="1" x14ac:dyDescent="0.2">
      <c r="A48" s="562"/>
      <c r="B48" s="567" t="s">
        <v>131</v>
      </c>
      <c r="C48" s="580"/>
      <c r="D48" s="554"/>
      <c r="E48" s="554"/>
      <c r="F48" s="554"/>
      <c r="G48" s="554">
        <v>16.305</v>
      </c>
      <c r="H48" s="554">
        <f>63-G48</f>
        <v>46.695</v>
      </c>
      <c r="I48" s="554">
        <v>4.2</v>
      </c>
      <c r="J48" s="554">
        <v>2.4</v>
      </c>
      <c r="K48" s="554">
        <v>0</v>
      </c>
      <c r="L48" s="559"/>
      <c r="M48" s="558"/>
      <c r="N48" s="558"/>
      <c r="O48" s="558"/>
      <c r="P48" s="558"/>
      <c r="Q48" s="558"/>
      <c r="R48" s="558"/>
      <c r="S48" s="558"/>
      <c r="T48" s="558"/>
      <c r="U48" s="558"/>
      <c r="V48" s="558"/>
      <c r="W48" s="558"/>
      <c r="X48" s="558"/>
      <c r="Y48" s="558"/>
    </row>
    <row r="49" spans="1:25" s="557" customFormat="1" x14ac:dyDescent="0.2">
      <c r="A49" s="562"/>
      <c r="B49" s="567" t="s">
        <v>174</v>
      </c>
      <c r="C49" s="580"/>
      <c r="D49" s="554"/>
      <c r="E49" s="554"/>
      <c r="F49" s="554"/>
      <c r="G49" s="554"/>
      <c r="H49" s="554"/>
      <c r="I49" s="554"/>
      <c r="J49" s="554">
        <v>2.4</v>
      </c>
      <c r="K49" s="554">
        <v>0</v>
      </c>
      <c r="L49" s="559"/>
      <c r="M49" s="558"/>
      <c r="N49" s="558"/>
      <c r="O49" s="558"/>
      <c r="P49" s="558"/>
      <c r="Q49" s="558"/>
      <c r="R49" s="558"/>
      <c r="S49" s="558"/>
      <c r="T49" s="558"/>
      <c r="U49" s="558"/>
      <c r="V49" s="558"/>
      <c r="W49" s="558"/>
      <c r="X49" s="558"/>
      <c r="Y49" s="558"/>
    </row>
    <row r="50" spans="1:25" s="557" customFormat="1" x14ac:dyDescent="0.2">
      <c r="A50" s="562"/>
      <c r="B50" s="567" t="s">
        <v>102</v>
      </c>
      <c r="C50" s="580"/>
      <c r="D50" s="554">
        <v>2.9</v>
      </c>
      <c r="E50" s="554">
        <v>0</v>
      </c>
      <c r="F50" s="554"/>
      <c r="G50" s="554"/>
      <c r="H50" s="554"/>
      <c r="I50" s="554"/>
      <c r="J50" s="554"/>
      <c r="K50" s="554"/>
      <c r="L50" s="559"/>
      <c r="M50" s="558"/>
      <c r="N50" s="558"/>
      <c r="O50" s="558"/>
      <c r="P50" s="558"/>
      <c r="Q50" s="558"/>
      <c r="R50" s="558"/>
      <c r="S50" s="558"/>
      <c r="T50" s="558"/>
      <c r="U50" s="558"/>
      <c r="V50" s="558"/>
      <c r="W50" s="558"/>
      <c r="X50" s="558"/>
      <c r="Y50" s="558"/>
    </row>
    <row r="51" spans="1:25" s="557" customFormat="1" x14ac:dyDescent="0.2">
      <c r="A51" s="562"/>
      <c r="B51" s="557" t="s">
        <v>103</v>
      </c>
      <c r="C51" s="580"/>
      <c r="D51" s="554">
        <v>0.5</v>
      </c>
      <c r="E51" s="554"/>
      <c r="F51" s="554"/>
      <c r="G51" s="554">
        <v>-1.6</v>
      </c>
      <c r="H51" s="554"/>
      <c r="I51" s="564">
        <v>3.2</v>
      </c>
      <c r="J51" s="554">
        <f>6-2.4</f>
        <v>3.6</v>
      </c>
      <c r="K51" s="554">
        <v>4.5</v>
      </c>
      <c r="L51" s="559">
        <v>-2.1</v>
      </c>
      <c r="M51" s="558"/>
      <c r="N51" s="558"/>
      <c r="O51" s="558"/>
      <c r="P51" s="558"/>
      <c r="Q51" s="558"/>
      <c r="R51" s="558"/>
      <c r="S51" s="558"/>
      <c r="T51" s="558"/>
      <c r="U51" s="558"/>
      <c r="V51" s="558"/>
      <c r="W51" s="558"/>
      <c r="X51" s="558"/>
      <c r="Y51" s="558"/>
    </row>
    <row r="52" spans="1:25" s="557" customFormat="1" x14ac:dyDescent="0.2">
      <c r="A52" s="562"/>
      <c r="B52" s="567" t="s">
        <v>19</v>
      </c>
      <c r="C52" s="579" t="s">
        <v>107</v>
      </c>
      <c r="D52" s="554">
        <v>10</v>
      </c>
      <c r="E52" s="554">
        <v>0</v>
      </c>
      <c r="F52" s="554">
        <v>0</v>
      </c>
      <c r="G52" s="554">
        <f>+F52</f>
        <v>0</v>
      </c>
      <c r="H52" s="554">
        <f>+G52</f>
        <v>0</v>
      </c>
      <c r="I52" s="554">
        <f>+H52</f>
        <v>0</v>
      </c>
      <c r="J52" s="554">
        <f>+I52</f>
        <v>0</v>
      </c>
      <c r="K52" s="554">
        <f>+J52</f>
        <v>0</v>
      </c>
      <c r="L52" s="559">
        <f>+K52</f>
        <v>0</v>
      </c>
      <c r="M52" s="558">
        <f>+L52</f>
        <v>0</v>
      </c>
      <c r="N52" s="558">
        <f>+M52</f>
        <v>0</v>
      </c>
      <c r="O52" s="558">
        <f>+N52</f>
        <v>0</v>
      </c>
      <c r="P52" s="558">
        <f>+O52</f>
        <v>0</v>
      </c>
      <c r="Q52" s="558">
        <f>+P52</f>
        <v>0</v>
      </c>
      <c r="R52" s="558">
        <f>+Q52</f>
        <v>0</v>
      </c>
      <c r="S52" s="558">
        <f>+R52</f>
        <v>0</v>
      </c>
      <c r="T52" s="558">
        <f>+S52</f>
        <v>0</v>
      </c>
      <c r="U52" s="558">
        <f>+T52</f>
        <v>0</v>
      </c>
      <c r="V52" s="558">
        <f>+U52</f>
        <v>0</v>
      </c>
      <c r="W52" s="558">
        <f>+V52</f>
        <v>0</v>
      </c>
      <c r="X52" s="558">
        <f>+W52</f>
        <v>0</v>
      </c>
      <c r="Y52" s="558">
        <f>+X52</f>
        <v>0</v>
      </c>
    </row>
    <row r="53" spans="1:25" s="557" customFormat="1" x14ac:dyDescent="0.2">
      <c r="A53" s="562"/>
      <c r="C53" s="579"/>
      <c r="D53" s="575"/>
      <c r="E53" s="575"/>
      <c r="F53" s="575"/>
      <c r="G53" s="575"/>
      <c r="H53" s="575"/>
      <c r="I53" s="575"/>
      <c r="J53" s="575"/>
      <c r="K53" s="554"/>
      <c r="L53" s="576"/>
      <c r="M53" s="575"/>
      <c r="N53" s="575"/>
      <c r="O53" s="575"/>
      <c r="P53" s="575"/>
      <c r="Q53" s="575"/>
      <c r="R53" s="575"/>
      <c r="S53" s="575"/>
      <c r="T53" s="575"/>
      <c r="U53" s="575"/>
      <c r="V53" s="575"/>
      <c r="W53" s="575"/>
      <c r="X53" s="575"/>
      <c r="Y53" s="575"/>
    </row>
    <row r="54" spans="1:25" s="563" customFormat="1" x14ac:dyDescent="0.2">
      <c r="A54" s="527" t="s">
        <v>40</v>
      </c>
      <c r="B54" s="567" t="s">
        <v>21</v>
      </c>
      <c r="C54" s="578"/>
      <c r="D54" s="564">
        <f>SUM(D28:D53)</f>
        <v>90.959500000000006</v>
      </c>
      <c r="E54" s="564">
        <f>SUM(E28:E53)</f>
        <v>133.80549999999999</v>
      </c>
      <c r="F54" s="564">
        <f>SUM(F28:F53)</f>
        <v>54.710000000000008</v>
      </c>
      <c r="G54" s="564">
        <f>SUM(G28:G53)</f>
        <v>107.41050000000001</v>
      </c>
      <c r="H54" s="564">
        <f>SUM(H28:H53)</f>
        <v>53.208000000000013</v>
      </c>
      <c r="I54" s="564">
        <f>SUM(I28:I53)</f>
        <v>57.650000000000006</v>
      </c>
      <c r="J54" s="564">
        <f>SUM(J28:J53)</f>
        <v>47.4</v>
      </c>
      <c r="K54" s="564">
        <f>SUM(K28:K53)</f>
        <v>37.878562500000001</v>
      </c>
      <c r="L54" s="565">
        <f>SUM(L28:L53)</f>
        <v>24.356437499999991</v>
      </c>
      <c r="M54" s="577">
        <f>SUM(M28:M53)</f>
        <v>67.49475000000001</v>
      </c>
      <c r="N54" s="577">
        <f>SUM(N28:N53)</f>
        <v>58.774749999999997</v>
      </c>
      <c r="O54" s="577">
        <f>SUM(O28:O53)</f>
        <v>52.820402022265625</v>
      </c>
      <c r="P54" s="577">
        <f>SUM(P28:P53)</f>
        <v>57.100402022265627</v>
      </c>
      <c r="Q54" s="577">
        <f>SUM(Q28:Q53)</f>
        <v>46.960255313408318</v>
      </c>
      <c r="R54" s="577">
        <f>SUM(R28:R53)</f>
        <v>38.240255313408319</v>
      </c>
      <c r="S54" s="577">
        <f>SUM(S28:S53)</f>
        <v>32.573921900153863</v>
      </c>
      <c r="T54" s="577">
        <f>SUM(T28:T53)</f>
        <v>49.853921900153864</v>
      </c>
      <c r="U54" s="577">
        <f>SUM(U28:U53)</f>
        <v>154.3162146768253</v>
      </c>
      <c r="V54" s="577">
        <f>SUM(V28:V53)</f>
        <v>126.80176569366959</v>
      </c>
      <c r="W54" s="577">
        <f>SUM(W28:W53)</f>
        <v>108.6</v>
      </c>
      <c r="X54" s="577">
        <f>SUM(X28:X53)</f>
        <v>108.6</v>
      </c>
      <c r="Y54" s="577">
        <f>SUM(Y28:Y53)</f>
        <v>108.6</v>
      </c>
    </row>
    <row r="55" spans="1:25" s="563" customFormat="1" x14ac:dyDescent="0.2">
      <c r="A55" s="527"/>
      <c r="B55" s="567"/>
      <c r="C55" s="578"/>
      <c r="D55" s="564"/>
      <c r="E55" s="564"/>
      <c r="F55" s="564"/>
      <c r="G55" s="564"/>
      <c r="H55" s="564"/>
      <c r="I55" s="564"/>
      <c r="J55" s="564"/>
      <c r="K55" s="564"/>
      <c r="L55" s="565"/>
      <c r="M55" s="577"/>
      <c r="N55" s="577"/>
      <c r="O55" s="577"/>
      <c r="P55" s="577"/>
      <c r="Q55" s="577"/>
      <c r="R55" s="577"/>
      <c r="S55" s="577"/>
      <c r="T55" s="577"/>
      <c r="U55" s="577"/>
      <c r="V55" s="577"/>
      <c r="W55" s="577"/>
      <c r="X55" s="577"/>
      <c r="Y55" s="577"/>
    </row>
    <row r="56" spans="1:25" s="563" customFormat="1" x14ac:dyDescent="0.2">
      <c r="A56" s="527"/>
      <c r="B56" s="561" t="s">
        <v>35</v>
      </c>
      <c r="C56" s="560"/>
      <c r="D56" s="554">
        <v>52</v>
      </c>
      <c r="E56" s="564"/>
      <c r="F56" s="564"/>
      <c r="G56" s="564"/>
      <c r="H56" s="564">
        <v>-275</v>
      </c>
      <c r="I56" s="564"/>
      <c r="J56" s="564"/>
      <c r="K56" s="564"/>
      <c r="L56" s="565"/>
      <c r="M56" s="577"/>
      <c r="N56" s="577"/>
      <c r="O56" s="577"/>
      <c r="P56" s="577"/>
      <c r="Q56" s="577"/>
      <c r="R56" s="577"/>
      <c r="S56" s="577"/>
      <c r="T56" s="577"/>
      <c r="U56" s="577"/>
      <c r="V56" s="577"/>
      <c r="W56" s="577"/>
      <c r="X56" s="577"/>
      <c r="Y56" s="577"/>
    </row>
    <row r="57" spans="1:25" s="557" customFormat="1" x14ac:dyDescent="0.2">
      <c r="A57" s="562"/>
      <c r="B57" s="561" t="s">
        <v>54</v>
      </c>
      <c r="C57" s="560"/>
      <c r="D57" s="554">
        <v>72</v>
      </c>
      <c r="E57" s="554"/>
      <c r="F57" s="575"/>
      <c r="G57" s="554"/>
      <c r="H57" s="575"/>
      <c r="I57" s="554"/>
      <c r="J57" s="554"/>
      <c r="K57" s="554"/>
      <c r="L57" s="576"/>
      <c r="M57" s="575"/>
      <c r="N57" s="575"/>
      <c r="O57" s="575"/>
      <c r="P57" s="575"/>
      <c r="Q57" s="575"/>
      <c r="R57" s="575"/>
      <c r="S57" s="575"/>
      <c r="T57" s="575"/>
      <c r="U57" s="575"/>
      <c r="V57" s="575"/>
      <c r="W57" s="575"/>
      <c r="X57" s="575"/>
      <c r="Y57" s="575"/>
    </row>
    <row r="58" spans="1:25" s="563" customFormat="1" ht="13.5" thickBot="1" x14ac:dyDescent="0.25">
      <c r="A58" s="527" t="s">
        <v>41</v>
      </c>
      <c r="B58" s="567" t="s">
        <v>43</v>
      </c>
      <c r="C58" s="566" t="s">
        <v>44</v>
      </c>
      <c r="D58" s="574">
        <f>+D23-D54+D57+D56</f>
        <v>180.15050000000002</v>
      </c>
      <c r="E58" s="568">
        <f>+E23-E54</f>
        <v>12.194500000000005</v>
      </c>
      <c r="F58" s="568">
        <f>+F23-F54</f>
        <v>90.489999999999981</v>
      </c>
      <c r="G58" s="568">
        <f>+G23-G54</f>
        <v>30.389499999999998</v>
      </c>
      <c r="H58" s="568">
        <f>SUM(H54:H57)</f>
        <v>-221.79199999999997</v>
      </c>
      <c r="I58" s="573">
        <f>+I23-I54</f>
        <v>57.849999999999994</v>
      </c>
      <c r="J58" s="573">
        <f>+J23-J54</f>
        <v>59.812000000000005</v>
      </c>
      <c r="K58" s="572">
        <f>+K23-K54</f>
        <v>64.172237500000008</v>
      </c>
      <c r="L58" s="571">
        <f>+L23-L54</f>
        <v>66.897662499999996</v>
      </c>
      <c r="M58" s="570">
        <f>+M23-M54</f>
        <v>29.641319999999979</v>
      </c>
      <c r="N58" s="570">
        <f>+N23-N54</f>
        <v>36.862798849999976</v>
      </c>
      <c r="O58" s="570">
        <f>+O23-O54</f>
        <v>41.560074453484347</v>
      </c>
      <c r="P58" s="570">
        <f>+P23-P54</f>
        <v>36.255267741175587</v>
      </c>
      <c r="Q58" s="569">
        <f>+Q23-Q54</f>
        <v>43.67746959962215</v>
      </c>
      <c r="R58" s="569">
        <f>+R23-R54</f>
        <v>51.927571089211476</v>
      </c>
      <c r="S58" s="569">
        <f>+S23-S54</f>
        <v>57.326092677132891</v>
      </c>
      <c r="T58" s="569">
        <f>+T23-T54</f>
        <v>39.974328582878698</v>
      </c>
      <c r="U58" s="568">
        <f>+U23-U54</f>
        <v>209.21728264008217</v>
      </c>
      <c r="V58" s="569">
        <f>+V23-V54</f>
        <v>253.50765049294182</v>
      </c>
      <c r="W58" s="568">
        <f>+W23-W54</f>
        <v>300.06270826145067</v>
      </c>
      <c r="X58" s="569">
        <f>+X23-X54</f>
        <v>339.55534303227228</v>
      </c>
      <c r="Y58" s="568">
        <f>+Y23-Y54</f>
        <v>400.4043574425051</v>
      </c>
    </row>
    <row r="59" spans="1:25" s="563" customFormat="1" ht="13.5" thickTop="1" x14ac:dyDescent="0.2">
      <c r="A59" s="527"/>
      <c r="B59" s="567"/>
      <c r="C59" s="566"/>
      <c r="D59" s="564"/>
      <c r="E59" s="564"/>
      <c r="F59" s="564"/>
      <c r="G59" s="564"/>
      <c r="H59" s="564"/>
      <c r="I59" s="564"/>
      <c r="J59" s="564"/>
      <c r="K59" s="564"/>
      <c r="L59" s="565"/>
      <c r="M59" s="564"/>
      <c r="N59" s="564"/>
      <c r="O59" s="564"/>
      <c r="P59" s="564"/>
      <c r="Q59" s="564"/>
      <c r="R59" s="564"/>
      <c r="S59" s="564"/>
      <c r="T59" s="564"/>
      <c r="U59" s="564"/>
      <c r="V59" s="564"/>
      <c r="W59" s="564"/>
      <c r="X59" s="564"/>
      <c r="Y59" s="564"/>
    </row>
    <row r="60" spans="1:25" s="563" customFormat="1" x14ac:dyDescent="0.2">
      <c r="A60" s="527"/>
      <c r="B60" s="567" t="s">
        <v>136</v>
      </c>
      <c r="C60" s="566"/>
      <c r="D60" s="564"/>
      <c r="E60" s="564"/>
      <c r="F60" s="564"/>
      <c r="G60" s="564"/>
      <c r="H60" s="564">
        <f>-974.2-25-19.5</f>
        <v>-1018.7</v>
      </c>
      <c r="I60" s="564"/>
      <c r="J60" s="564"/>
      <c r="K60" s="564"/>
      <c r="L60" s="565"/>
      <c r="M60" s="564"/>
      <c r="N60" s="564"/>
      <c r="O60" s="564"/>
      <c r="P60" s="564"/>
      <c r="Q60" s="564"/>
      <c r="R60" s="564"/>
      <c r="S60" s="564"/>
      <c r="T60" s="564"/>
      <c r="U60" s="564"/>
      <c r="V60" s="564"/>
      <c r="W60" s="564"/>
      <c r="X60" s="564"/>
      <c r="Y60" s="564"/>
    </row>
    <row r="61" spans="1:25" s="563" customFormat="1" x14ac:dyDescent="0.2">
      <c r="A61" s="527"/>
      <c r="B61" s="567"/>
      <c r="C61" s="566"/>
      <c r="D61" s="564"/>
      <c r="E61" s="564"/>
      <c r="F61" s="564"/>
      <c r="G61" s="564"/>
      <c r="H61" s="564"/>
      <c r="I61" s="564"/>
      <c r="J61" s="564"/>
      <c r="K61" s="564"/>
      <c r="L61" s="565"/>
      <c r="M61" s="564"/>
      <c r="N61" s="564"/>
      <c r="O61" s="564"/>
      <c r="P61" s="564"/>
      <c r="Q61" s="564"/>
      <c r="R61" s="564"/>
      <c r="S61" s="564"/>
      <c r="T61" s="564"/>
      <c r="U61" s="564"/>
      <c r="V61" s="564"/>
      <c r="W61" s="564"/>
      <c r="X61" s="564"/>
      <c r="Y61" s="564"/>
    </row>
    <row r="62" spans="1:25" s="563" customFormat="1" x14ac:dyDescent="0.2">
      <c r="A62" s="527"/>
      <c r="B62" s="567"/>
      <c r="C62" s="566"/>
      <c r="D62" s="564"/>
      <c r="E62" s="564"/>
      <c r="F62" s="564"/>
      <c r="G62" s="564"/>
      <c r="H62" s="564"/>
      <c r="I62" s="564"/>
      <c r="J62" s="564"/>
      <c r="K62" s="564"/>
      <c r="L62" s="565"/>
      <c r="M62" s="564"/>
      <c r="N62" s="564"/>
      <c r="O62" s="564"/>
      <c r="P62" s="564"/>
      <c r="Q62" s="564"/>
      <c r="R62" s="564"/>
      <c r="S62" s="564"/>
      <c r="T62" s="564"/>
      <c r="U62" s="564"/>
      <c r="V62" s="564"/>
      <c r="W62" s="564"/>
      <c r="X62" s="564"/>
      <c r="Y62" s="564"/>
    </row>
    <row r="63" spans="1:25" s="557" customFormat="1" x14ac:dyDescent="0.2">
      <c r="A63" s="562"/>
      <c r="B63" s="561"/>
      <c r="C63" s="560"/>
      <c r="D63" s="554"/>
      <c r="E63" s="554"/>
      <c r="F63" s="554"/>
      <c r="G63" s="554"/>
      <c r="H63" s="554"/>
      <c r="I63" s="554"/>
      <c r="J63" s="554"/>
      <c r="K63" s="554"/>
      <c r="L63" s="559"/>
      <c r="M63" s="558"/>
      <c r="N63" s="558"/>
      <c r="O63" s="558"/>
      <c r="P63" s="558"/>
      <c r="Q63" s="558"/>
      <c r="R63" s="558"/>
      <c r="S63" s="558"/>
      <c r="T63" s="558"/>
      <c r="U63" s="558"/>
      <c r="V63" s="558"/>
      <c r="W63" s="558"/>
      <c r="X63" s="558"/>
      <c r="Y63" s="558"/>
    </row>
    <row r="64" spans="1:25" x14ac:dyDescent="0.2">
      <c r="B64" s="556" t="s">
        <v>22</v>
      </c>
      <c r="C64" s="507"/>
      <c r="D64" s="531"/>
      <c r="E64" s="530"/>
      <c r="F64" s="530"/>
      <c r="G64" s="530"/>
      <c r="H64" s="530"/>
      <c r="I64" s="530"/>
      <c r="J64" s="530"/>
      <c r="K64" s="530"/>
      <c r="L64" s="529"/>
      <c r="M64" s="506"/>
      <c r="N64" s="506"/>
      <c r="O64" s="506"/>
      <c r="P64" s="506"/>
      <c r="Q64" s="506"/>
      <c r="R64" s="506"/>
      <c r="S64" s="506"/>
      <c r="T64" s="506"/>
      <c r="U64" s="506"/>
      <c r="V64" s="506"/>
      <c r="W64" s="506"/>
      <c r="X64" s="506"/>
      <c r="Y64" s="506"/>
    </row>
    <row r="65" spans="1:25" x14ac:dyDescent="0.2">
      <c r="A65" s="467" t="s">
        <v>42</v>
      </c>
      <c r="B65" s="553" t="s">
        <v>87</v>
      </c>
      <c r="C65" s="552">
        <v>250</v>
      </c>
      <c r="D65" s="531">
        <v>45</v>
      </c>
      <c r="E65" s="530">
        <v>25</v>
      </c>
      <c r="F65" s="530">
        <v>25</v>
      </c>
      <c r="G65" s="530">
        <v>25</v>
      </c>
      <c r="H65" s="530">
        <v>130</v>
      </c>
      <c r="I65" s="554"/>
      <c r="J65" s="530"/>
      <c r="K65" s="530"/>
      <c r="L65" s="529"/>
      <c r="M65" s="506"/>
      <c r="N65" s="506"/>
      <c r="O65" s="506"/>
      <c r="P65" s="506"/>
      <c r="Q65" s="506"/>
      <c r="R65" s="506"/>
      <c r="S65" s="506"/>
      <c r="T65" s="506"/>
      <c r="U65" s="506"/>
      <c r="V65" s="506"/>
      <c r="W65" s="506"/>
      <c r="X65" s="506"/>
      <c r="Y65" s="506"/>
    </row>
    <row r="66" spans="1:25" x14ac:dyDescent="0.2">
      <c r="A66" s="467" t="s">
        <v>42</v>
      </c>
      <c r="B66" s="553" t="s">
        <v>88</v>
      </c>
      <c r="C66" s="552">
        <v>16</v>
      </c>
      <c r="D66" s="531">
        <v>16</v>
      </c>
      <c r="E66" s="555">
        <v>-239</v>
      </c>
      <c r="F66" s="530"/>
      <c r="G66" s="530"/>
      <c r="H66" s="530">
        <v>239</v>
      </c>
      <c r="I66" s="554"/>
      <c r="J66" s="530"/>
      <c r="K66" s="530"/>
      <c r="L66" s="529"/>
      <c r="M66" s="506"/>
      <c r="N66" s="506"/>
      <c r="O66" s="506"/>
      <c r="P66" s="506"/>
      <c r="Q66" s="506"/>
      <c r="R66" s="506"/>
      <c r="S66" s="506"/>
      <c r="T66" s="506"/>
      <c r="U66" s="506"/>
      <c r="V66" s="506"/>
      <c r="W66" s="506"/>
      <c r="X66" s="506"/>
      <c r="Y66" s="506"/>
    </row>
    <row r="67" spans="1:25" x14ac:dyDescent="0.2">
      <c r="A67" s="467" t="s">
        <v>42</v>
      </c>
      <c r="B67" s="553" t="s">
        <v>25</v>
      </c>
      <c r="C67" s="552">
        <v>35</v>
      </c>
      <c r="D67" s="531">
        <v>35</v>
      </c>
      <c r="E67" s="530"/>
      <c r="F67" s="530"/>
      <c r="G67" s="530"/>
      <c r="H67" s="530"/>
      <c r="I67" s="530"/>
      <c r="J67" s="530"/>
      <c r="K67" s="530"/>
      <c r="L67" s="529"/>
      <c r="M67" s="506"/>
      <c r="N67" s="506"/>
      <c r="O67" s="506"/>
      <c r="P67" s="506"/>
      <c r="Q67" s="506"/>
      <c r="R67" s="506"/>
      <c r="S67" s="506"/>
      <c r="T67" s="506"/>
      <c r="U67" s="506"/>
      <c r="V67" s="506"/>
      <c r="W67" s="506"/>
      <c r="X67" s="506"/>
      <c r="Y67" s="506"/>
    </row>
    <row r="68" spans="1:25" x14ac:dyDescent="0.2">
      <c r="A68" s="467"/>
      <c r="B68" s="553" t="s">
        <v>114</v>
      </c>
      <c r="C68" s="552"/>
      <c r="D68" s="531"/>
      <c r="E68" s="530">
        <v>0.3</v>
      </c>
      <c r="F68" s="530"/>
      <c r="G68" s="530"/>
      <c r="H68" s="530"/>
      <c r="I68" s="530"/>
      <c r="J68" s="530"/>
      <c r="K68" s="530"/>
      <c r="L68" s="529"/>
      <c r="M68" s="506"/>
      <c r="N68" s="506"/>
      <c r="O68" s="506"/>
      <c r="P68" s="506"/>
      <c r="Q68" s="506"/>
      <c r="R68" s="506"/>
      <c r="S68" s="506"/>
      <c r="T68" s="506"/>
      <c r="U68" s="506"/>
      <c r="V68" s="506"/>
      <c r="W68" s="506"/>
      <c r="X68" s="506"/>
      <c r="Y68" s="506"/>
    </row>
    <row r="69" spans="1:25" ht="13.5" thickBot="1" x14ac:dyDescent="0.25">
      <c r="A69" s="467" t="s">
        <v>42</v>
      </c>
      <c r="B69" s="551" t="s">
        <v>34</v>
      </c>
      <c r="C69" s="542"/>
      <c r="D69" s="531"/>
      <c r="E69" s="530"/>
      <c r="F69" s="530"/>
      <c r="G69" s="530"/>
      <c r="H69" s="530">
        <v>184</v>
      </c>
      <c r="I69" s="530"/>
      <c r="J69" s="530"/>
      <c r="K69" s="530"/>
      <c r="L69" s="529"/>
      <c r="M69" s="506"/>
      <c r="N69" s="506"/>
      <c r="O69" s="506"/>
      <c r="P69" s="506"/>
      <c r="Q69" s="506"/>
      <c r="R69" s="506"/>
      <c r="S69" s="506"/>
      <c r="T69" s="506"/>
      <c r="U69" s="506"/>
      <c r="V69" s="506"/>
      <c r="W69" s="506"/>
      <c r="X69" s="506"/>
      <c r="Y69" s="506"/>
    </row>
    <row r="70" spans="1:25" ht="16.5" thickBot="1" x14ac:dyDescent="0.3">
      <c r="A70" s="467"/>
      <c r="B70" s="548" t="s">
        <v>137</v>
      </c>
      <c r="C70" s="542"/>
      <c r="D70" s="531"/>
      <c r="E70" s="530"/>
      <c r="F70" s="530"/>
      <c r="G70" s="530"/>
      <c r="H70" s="550">
        <f>-107.5+19.5</f>
        <v>-88</v>
      </c>
      <c r="I70" s="530"/>
      <c r="J70" s="530"/>
      <c r="K70" s="530"/>
      <c r="L70" s="529"/>
      <c r="M70" s="506"/>
      <c r="N70" s="506"/>
      <c r="O70" s="506"/>
      <c r="P70" s="506"/>
      <c r="Q70" s="506"/>
      <c r="R70" s="506"/>
      <c r="S70" s="506"/>
      <c r="T70" s="506"/>
      <c r="U70" s="506"/>
      <c r="V70" s="506"/>
      <c r="W70" s="506"/>
      <c r="X70" s="506"/>
      <c r="Y70" s="506"/>
    </row>
    <row r="71" spans="1:25" s="489" customFormat="1" ht="16.5" thickBot="1" x14ac:dyDescent="0.3">
      <c r="A71" s="486"/>
      <c r="B71" s="548" t="s">
        <v>138</v>
      </c>
      <c r="C71" s="547"/>
      <c r="D71" s="499"/>
      <c r="E71" s="545"/>
      <c r="F71" s="545"/>
      <c r="G71" s="545"/>
      <c r="H71" s="549">
        <v>-800</v>
      </c>
      <c r="I71" s="545"/>
      <c r="J71" s="545">
        <v>26.1</v>
      </c>
      <c r="K71" s="545">
        <v>8.3000000000000007</v>
      </c>
      <c r="L71" s="544">
        <f>-SUM(H71:K71)-646.6</f>
        <v>119</v>
      </c>
      <c r="M71" s="504"/>
      <c r="N71" s="504">
        <f>(+L58+M58)*0.75</f>
        <v>72.404236874999981</v>
      </c>
      <c r="O71" s="504"/>
      <c r="P71" s="504">
        <f>(+N58+O58)*0.75</f>
        <v>58.817154977613242</v>
      </c>
      <c r="Q71" s="504"/>
      <c r="R71" s="504">
        <f>(+P58+Q58)*0.75</f>
        <v>59.949553005598297</v>
      </c>
      <c r="S71" s="504"/>
      <c r="T71" s="504">
        <f>(+R58+S58)*0.75</f>
        <v>81.940247824758274</v>
      </c>
      <c r="U71" s="504">
        <f>SUM(U58)*0.75</f>
        <v>156.91296198006162</v>
      </c>
      <c r="V71" s="504">
        <f>SUM(V58)*0.75+26</f>
        <v>216.13073786970637</v>
      </c>
      <c r="W71" s="504">
        <v>0</v>
      </c>
      <c r="X71" s="504">
        <v>0</v>
      </c>
      <c r="Y71" s="504">
        <v>0</v>
      </c>
    </row>
    <row r="72" spans="1:25" s="489" customFormat="1" ht="15.75" x14ac:dyDescent="0.25">
      <c r="A72" s="486"/>
      <c r="B72" s="548"/>
      <c r="C72" s="547"/>
      <c r="D72" s="499"/>
      <c r="E72" s="545"/>
      <c r="F72" s="545"/>
      <c r="G72" s="545"/>
      <c r="H72" s="546"/>
      <c r="I72" s="545"/>
      <c r="J72" s="545"/>
      <c r="K72" s="545"/>
      <c r="L72" s="544"/>
      <c r="M72" s="504"/>
      <c r="N72" s="504"/>
      <c r="O72" s="504"/>
      <c r="P72" s="504"/>
      <c r="Q72" s="504"/>
      <c r="R72" s="504"/>
      <c r="S72" s="504"/>
      <c r="T72" s="504"/>
      <c r="U72" s="504"/>
      <c r="V72" s="504"/>
      <c r="W72" s="504"/>
      <c r="X72" s="504"/>
      <c r="Y72" s="504"/>
    </row>
    <row r="73" spans="1:25" x14ac:dyDescent="0.2">
      <c r="A73" s="467" t="s">
        <v>42</v>
      </c>
      <c r="B73" s="541" t="s">
        <v>14</v>
      </c>
      <c r="C73" s="542">
        <v>1406</v>
      </c>
      <c r="D73" s="531"/>
      <c r="E73" s="530"/>
      <c r="F73" s="530"/>
      <c r="G73" s="530"/>
      <c r="H73" s="530">
        <v>1406</v>
      </c>
      <c r="I73" s="530"/>
      <c r="J73" s="530"/>
      <c r="K73" s="530"/>
      <c r="L73" s="529"/>
      <c r="M73" s="506"/>
      <c r="N73" s="506"/>
      <c r="O73" s="506"/>
      <c r="P73" s="506"/>
      <c r="Q73" s="506"/>
      <c r="R73" s="506"/>
      <c r="S73" s="506"/>
      <c r="T73" s="506"/>
      <c r="U73" s="506"/>
      <c r="V73" s="506"/>
      <c r="W73" s="506"/>
      <c r="X73" s="506"/>
      <c r="Y73" s="506"/>
    </row>
    <row r="74" spans="1:25" x14ac:dyDescent="0.2">
      <c r="A74" s="467"/>
      <c r="B74" s="543"/>
      <c r="C74" s="542"/>
      <c r="D74" s="531"/>
      <c r="E74" s="530"/>
      <c r="F74" s="530"/>
      <c r="G74" s="530"/>
      <c r="H74" s="530"/>
      <c r="I74" s="530"/>
      <c r="J74" s="530"/>
      <c r="K74" s="530"/>
      <c r="L74" s="529"/>
      <c r="M74" s="506"/>
      <c r="N74" s="506"/>
      <c r="O74" s="506"/>
      <c r="P74" s="506"/>
      <c r="Q74" s="506"/>
      <c r="R74" s="506"/>
      <c r="S74" s="506"/>
      <c r="T74" s="506"/>
      <c r="U74" s="506"/>
      <c r="V74" s="506"/>
      <c r="W74" s="506"/>
      <c r="X74" s="506"/>
      <c r="Y74" s="506"/>
    </row>
    <row r="75" spans="1:25" x14ac:dyDescent="0.2">
      <c r="B75" s="541" t="s">
        <v>69</v>
      </c>
      <c r="C75" s="540">
        <v>1707</v>
      </c>
      <c r="D75" s="531"/>
      <c r="E75" s="530"/>
      <c r="F75" s="530"/>
      <c r="G75" s="530"/>
      <c r="H75" s="530"/>
      <c r="I75" s="530"/>
      <c r="J75" s="530"/>
      <c r="K75" s="530"/>
      <c r="L75" s="529"/>
      <c r="M75" s="506"/>
      <c r="N75" s="506"/>
      <c r="O75" s="506"/>
      <c r="P75" s="506"/>
      <c r="Q75" s="506"/>
      <c r="R75" s="506"/>
      <c r="S75" s="506"/>
      <c r="T75" s="506"/>
      <c r="U75" s="506"/>
      <c r="V75" s="506"/>
      <c r="W75" s="506"/>
      <c r="X75" s="506"/>
      <c r="Y75" s="506"/>
    </row>
    <row r="76" spans="1:25" s="466" customFormat="1" ht="13.5" thickBot="1" x14ac:dyDescent="0.25">
      <c r="A76" s="467" t="s">
        <v>45</v>
      </c>
      <c r="B76" s="466" t="s">
        <v>53</v>
      </c>
      <c r="C76" s="539" t="s">
        <v>51</v>
      </c>
      <c r="D76" s="538">
        <f>-SUM(D63:D75)+D58</f>
        <v>84.150500000000022</v>
      </c>
      <c r="E76" s="532">
        <f>-SUM(E63:E75)+E58</f>
        <v>225.89449999999999</v>
      </c>
      <c r="F76" s="532">
        <f>-SUM(F63:F75)+F58</f>
        <v>65.489999999999981</v>
      </c>
      <c r="G76" s="532">
        <f>-SUM(G63:G75)+G58</f>
        <v>5.3894999999999982</v>
      </c>
      <c r="H76" s="532">
        <f>-SUM(H60:H75)+H58</f>
        <v>-274.09199999999993</v>
      </c>
      <c r="I76" s="537">
        <f>-SUM(I63:I75)+I58</f>
        <v>57.849999999999994</v>
      </c>
      <c r="J76" s="537">
        <f>-SUM(J63:J75)+J58</f>
        <v>33.712000000000003</v>
      </c>
      <c r="K76" s="536">
        <f>-SUM(K63:K75)+K58</f>
        <v>55.872237500000011</v>
      </c>
      <c r="L76" s="535">
        <f>-SUM(L63:L75)+L58</f>
        <v>-52.102337500000004</v>
      </c>
      <c r="M76" s="534">
        <f>-SUM(M63:M75)+M58</f>
        <v>29.641319999999979</v>
      </c>
      <c r="N76" s="534">
        <f>-SUM(N63:N75)+N58</f>
        <v>-35.541438025000005</v>
      </c>
      <c r="O76" s="534">
        <f>-SUM(O63:O75)+O58</f>
        <v>41.560074453484347</v>
      </c>
      <c r="P76" s="534">
        <f>-SUM(P63:P75)+P58</f>
        <v>-22.561887236437656</v>
      </c>
      <c r="Q76" s="534">
        <f>-SUM(Q63:Q75)+Q58</f>
        <v>43.67746959962215</v>
      </c>
      <c r="R76" s="534">
        <f>-SUM(R63:R75)+R58</f>
        <v>-8.0219819163868209</v>
      </c>
      <c r="S76" s="534">
        <f>-SUM(S63:S75)+S58</f>
        <v>57.326092677132891</v>
      </c>
      <c r="T76" s="534">
        <f>-SUM(T63:T75)+T58</f>
        <v>-41.965919241879575</v>
      </c>
      <c r="U76" s="532">
        <f>-SUM(U63:U75)+U58</f>
        <v>52.304320660020551</v>
      </c>
      <c r="V76" s="533">
        <f>-SUM(V63:V75)+V58</f>
        <v>37.376912623235455</v>
      </c>
      <c r="W76" s="532">
        <f>-SUM(W63:W75)+W58</f>
        <v>300.06270826145067</v>
      </c>
      <c r="X76" s="533">
        <f>-SUM(X63:X75)+X58</f>
        <v>339.55534303227228</v>
      </c>
      <c r="Y76" s="532">
        <f>-SUM(Y63:Y75)+Y58</f>
        <v>400.4043574425051</v>
      </c>
    </row>
    <row r="77" spans="1:25" ht="14.25" thickTop="1" thickBot="1" x14ac:dyDescent="0.25">
      <c r="C77" s="507"/>
      <c r="D77" s="531"/>
      <c r="E77" s="530"/>
      <c r="F77" s="530"/>
      <c r="G77" s="530"/>
      <c r="H77" s="530"/>
      <c r="I77" s="530"/>
      <c r="J77" s="530"/>
      <c r="K77" s="530"/>
      <c r="L77" s="529"/>
      <c r="M77" s="506"/>
      <c r="N77" s="506"/>
      <c r="O77" s="506"/>
      <c r="P77" s="506"/>
      <c r="Q77" s="506"/>
      <c r="R77" s="506"/>
      <c r="S77" s="506"/>
      <c r="T77" s="506"/>
      <c r="U77" s="506"/>
      <c r="V77" s="506"/>
      <c r="W77" s="506"/>
      <c r="X77" s="506"/>
      <c r="Y77" s="506"/>
    </row>
    <row r="78" spans="1:25" s="521" customFormat="1" ht="13.5" thickBot="1" x14ac:dyDescent="0.25">
      <c r="A78" s="527" t="s">
        <v>52</v>
      </c>
      <c r="B78" s="521" t="s">
        <v>168</v>
      </c>
      <c r="C78" s="526"/>
      <c r="D78" s="522">
        <f>+D76</f>
        <v>84.150500000000022</v>
      </c>
      <c r="E78" s="522">
        <f>+D78+E76</f>
        <v>310.04500000000002</v>
      </c>
      <c r="F78" s="522">
        <f>+E78+F76</f>
        <v>375.53499999999997</v>
      </c>
      <c r="G78" s="522">
        <f>+F78+G76</f>
        <v>380.92449999999997</v>
      </c>
      <c r="H78" s="522">
        <f>+G78+H76</f>
        <v>106.83250000000004</v>
      </c>
      <c r="I78" s="522">
        <f>+H78+I76</f>
        <v>164.68250000000003</v>
      </c>
      <c r="J78" s="522">
        <f>+I78+J76</f>
        <v>198.39450000000005</v>
      </c>
      <c r="K78" s="522">
        <f>+J78+K76</f>
        <v>254.26673750000006</v>
      </c>
      <c r="L78" s="524">
        <f>+K78+L76</f>
        <v>202.16440000000006</v>
      </c>
      <c r="M78" s="522">
        <f>+L78+M76</f>
        <v>231.80572000000004</v>
      </c>
      <c r="N78" s="522">
        <f>+M78+N76</f>
        <v>196.26428197500002</v>
      </c>
      <c r="O78" s="522">
        <f>+N78+O76</f>
        <v>237.82435642848435</v>
      </c>
      <c r="P78" s="522">
        <f>+O78+P76</f>
        <v>215.26246919204669</v>
      </c>
      <c r="Q78" s="522">
        <f>+P78+Q76</f>
        <v>258.93993879166885</v>
      </c>
      <c r="R78" s="522">
        <f>+Q78+R76</f>
        <v>250.91795687528202</v>
      </c>
      <c r="S78" s="522">
        <f>+R78+S76</f>
        <v>308.24404955241494</v>
      </c>
      <c r="T78" s="522">
        <f>+S78+T76</f>
        <v>266.27813031053535</v>
      </c>
      <c r="U78" s="528">
        <f>+T78+U76</f>
        <v>318.5824509705559</v>
      </c>
      <c r="V78" s="522">
        <f>+U78+V76</f>
        <v>355.95936359379135</v>
      </c>
      <c r="W78" s="522">
        <f>+V78+W76</f>
        <v>656.02207185524207</v>
      </c>
      <c r="X78" s="522">
        <f>+W78+X76</f>
        <v>995.57741488751435</v>
      </c>
      <c r="Y78" s="522">
        <f>+X78+Y76</f>
        <v>1395.9817723300193</v>
      </c>
    </row>
    <row r="79" spans="1:25" s="521" customFormat="1" x14ac:dyDescent="0.2">
      <c r="A79" s="527"/>
      <c r="C79" s="526"/>
      <c r="D79" s="522"/>
      <c r="E79" s="522"/>
      <c r="F79" s="522"/>
      <c r="G79" s="522"/>
      <c r="H79" s="522"/>
      <c r="I79" s="522"/>
      <c r="J79" s="525"/>
      <c r="K79" s="522"/>
      <c r="L79" s="524"/>
      <c r="M79" s="523"/>
      <c r="N79" s="522"/>
      <c r="O79" s="523"/>
      <c r="P79" s="523"/>
      <c r="Q79" s="523"/>
      <c r="R79" s="523"/>
      <c r="S79" s="523"/>
      <c r="T79" s="523"/>
      <c r="U79" s="522"/>
      <c r="V79" s="522"/>
      <c r="W79" s="522"/>
      <c r="X79" s="522"/>
      <c r="Y79" s="522"/>
    </row>
    <row r="80" spans="1:25" s="519" customFormat="1" ht="15.75" x14ac:dyDescent="0.25">
      <c r="A80" s="520"/>
      <c r="B80" s="518" t="s">
        <v>128</v>
      </c>
      <c r="C80" s="513"/>
      <c r="D80" s="513">
        <f>-SUM(D64:D74)</f>
        <v>-96</v>
      </c>
      <c r="E80" s="513">
        <f>-SUM(E64:E74)</f>
        <v>213.7</v>
      </c>
      <c r="F80" s="513">
        <f>-SUM(F64:F74)</f>
        <v>-25</v>
      </c>
      <c r="G80" s="513">
        <f>-SUM(G64:G74)</f>
        <v>-25</v>
      </c>
      <c r="H80" s="513">
        <f>-SUM(H64:H74)</f>
        <v>-1071</v>
      </c>
      <c r="I80" s="513">
        <f>-SUM(I64:I74)</f>
        <v>0</v>
      </c>
      <c r="J80" s="510">
        <f>-SUM(J64:J74)</f>
        <v>-26.1</v>
      </c>
      <c r="K80" s="512">
        <f>-SUM(K64:K74)</f>
        <v>-8.3000000000000007</v>
      </c>
      <c r="L80" s="516">
        <f>-SUM(L64:L74)</f>
        <v>-119</v>
      </c>
      <c r="M80" s="513">
        <f>-SUM(M64:M74)</f>
        <v>0</v>
      </c>
      <c r="N80" s="513">
        <f>-SUM(N64:N74)</f>
        <v>-72.404236874999981</v>
      </c>
      <c r="O80" s="513">
        <f>-SUM(O64:O74)</f>
        <v>0</v>
      </c>
      <c r="P80" s="513">
        <f>-SUM(P64:P74)</f>
        <v>-58.817154977613242</v>
      </c>
      <c r="Q80" s="513">
        <f>-SUM(Q64:Q74)</f>
        <v>0</v>
      </c>
      <c r="R80" s="513">
        <f>-SUM(R64:R74)</f>
        <v>-59.949553005598297</v>
      </c>
      <c r="S80" s="513">
        <f>-SUM(S64:S74)</f>
        <v>0</v>
      </c>
      <c r="T80" s="513">
        <f>-SUM(T64:T74)</f>
        <v>-81.940247824758274</v>
      </c>
      <c r="U80" s="513">
        <f>-SUM(U64:U74)</f>
        <v>-156.91296198006162</v>
      </c>
      <c r="V80" s="513">
        <f>-SUM(V64:V74)</f>
        <v>-216.13073786970637</v>
      </c>
      <c r="W80" s="513">
        <f>-SUM(W64:W74)</f>
        <v>0</v>
      </c>
      <c r="X80" s="513">
        <f>-SUM(X64:X74)</f>
        <v>0</v>
      </c>
      <c r="Y80" s="515">
        <f>-SUM(Y64:Y74)</f>
        <v>0</v>
      </c>
    </row>
    <row r="81" spans="1:25" s="482" customFormat="1" ht="15.75" x14ac:dyDescent="0.25">
      <c r="A81" s="486"/>
      <c r="B81" s="518" t="s">
        <v>127</v>
      </c>
      <c r="C81" s="513">
        <v>1891</v>
      </c>
      <c r="D81" s="513">
        <f>+C81+D80</f>
        <v>1795</v>
      </c>
      <c r="E81" s="513">
        <f>+D81+E80</f>
        <v>2008.7</v>
      </c>
      <c r="F81" s="513">
        <f>+E81+F80</f>
        <v>1983.7</v>
      </c>
      <c r="G81" s="513">
        <f>+F81+G80</f>
        <v>1958.7</v>
      </c>
      <c r="H81" s="513">
        <f>+G81+H80</f>
        <v>887.7</v>
      </c>
      <c r="I81" s="513">
        <f>+H81+I80</f>
        <v>887.7</v>
      </c>
      <c r="J81" s="513">
        <f>+I81+J80</f>
        <v>861.6</v>
      </c>
      <c r="K81" s="517">
        <f>+J81+K80</f>
        <v>853.30000000000007</v>
      </c>
      <c r="L81" s="516">
        <f>+K81+L80</f>
        <v>734.30000000000007</v>
      </c>
      <c r="M81" s="513">
        <f>+L81+M80</f>
        <v>734.30000000000007</v>
      </c>
      <c r="N81" s="513">
        <f>+M81+N80</f>
        <v>661.89576312500003</v>
      </c>
      <c r="O81" s="513">
        <f>+N81+O80</f>
        <v>661.89576312500003</v>
      </c>
      <c r="P81" s="513">
        <f>+O81+P80</f>
        <v>603.07860814738683</v>
      </c>
      <c r="Q81" s="513">
        <f>+P81+Q80</f>
        <v>603.07860814738683</v>
      </c>
      <c r="R81" s="513">
        <f>+Q81+R80</f>
        <v>543.12905514178851</v>
      </c>
      <c r="S81" s="513">
        <f>+R81+S80</f>
        <v>543.12905514178851</v>
      </c>
      <c r="T81" s="513">
        <f>+S81+T80</f>
        <v>461.18880731703024</v>
      </c>
      <c r="U81" s="513">
        <f>+T81+U80</f>
        <v>304.27584533696859</v>
      </c>
      <c r="V81" s="513">
        <f>+U81+V80</f>
        <v>88.145107467262221</v>
      </c>
      <c r="W81" s="513">
        <f>+V81+W80</f>
        <v>88.145107467262221</v>
      </c>
      <c r="X81" s="513">
        <f>+W81+X80</f>
        <v>88.145107467262221</v>
      </c>
      <c r="Y81" s="515">
        <f>+X81+Y80</f>
        <v>88.145107467262221</v>
      </c>
    </row>
    <row r="82" spans="1:25" s="482" customFormat="1" ht="16.5" thickBot="1" x14ac:dyDescent="0.3">
      <c r="A82" s="486"/>
      <c r="B82" s="514" t="s">
        <v>172</v>
      </c>
      <c r="C82" s="510"/>
      <c r="D82" s="510"/>
      <c r="E82" s="510"/>
      <c r="F82" s="510"/>
      <c r="G82" s="510"/>
      <c r="H82" s="510"/>
      <c r="I82" s="510">
        <v>724</v>
      </c>
      <c r="J82" s="513">
        <v>664</v>
      </c>
      <c r="K82" s="512">
        <v>601</v>
      </c>
      <c r="L82" s="511">
        <v>533</v>
      </c>
      <c r="M82" s="510"/>
      <c r="N82" s="510"/>
      <c r="O82" s="510"/>
      <c r="P82" s="510"/>
      <c r="Q82" s="510"/>
      <c r="R82" s="510"/>
      <c r="S82" s="510"/>
      <c r="T82" s="510"/>
      <c r="U82" s="510"/>
      <c r="V82" s="510"/>
      <c r="W82" s="510"/>
      <c r="X82" s="510"/>
      <c r="Y82" s="510"/>
    </row>
    <row r="83" spans="1:25" s="508" customFormat="1" ht="15.75" x14ac:dyDescent="0.25">
      <c r="B83" s="508" t="s">
        <v>163</v>
      </c>
      <c r="D83" s="509"/>
      <c r="H83" s="358">
        <v>1.4</v>
      </c>
      <c r="I83" s="359">
        <v>1.3</v>
      </c>
      <c r="J83" s="508">
        <v>1.3</v>
      </c>
      <c r="K83" s="508">
        <v>1.3</v>
      </c>
      <c r="L83" s="509">
        <v>1.3</v>
      </c>
      <c r="N83" s="509"/>
    </row>
    <row r="84" spans="1:25" ht="15.75" x14ac:dyDescent="0.25">
      <c r="B84" s="505" t="s">
        <v>50</v>
      </c>
      <c r="H84" s="507"/>
    </row>
    <row r="85" spans="1:25" ht="15.75" x14ac:dyDescent="0.25">
      <c r="B85" s="505"/>
      <c r="H85" s="506">
        <f>+H70+88</f>
        <v>0</v>
      </c>
    </row>
    <row r="86" spans="1:25" ht="15.75" x14ac:dyDescent="0.25">
      <c r="B86" s="505"/>
    </row>
    <row r="88" spans="1:25" s="489" customFormat="1" ht="15.75" x14ac:dyDescent="0.25">
      <c r="A88" s="490"/>
      <c r="B88" s="489" t="s">
        <v>146</v>
      </c>
      <c r="D88" s="482">
        <v>27.995000000000001</v>
      </c>
      <c r="E88" s="482">
        <f>+D88</f>
        <v>27.995000000000001</v>
      </c>
      <c r="F88" s="482">
        <f>+E88</f>
        <v>27.995000000000001</v>
      </c>
      <c r="G88" s="482">
        <f>+F88</f>
        <v>27.995000000000001</v>
      </c>
      <c r="H88" s="482">
        <v>27.995000000000001</v>
      </c>
      <c r="I88" s="482">
        <v>27.995000000000001</v>
      </c>
      <c r="J88" s="482">
        <v>27.995000000000001</v>
      </c>
      <c r="K88" s="482">
        <v>27.995000000000001</v>
      </c>
      <c r="L88" s="482">
        <v>27.995000000000001</v>
      </c>
      <c r="M88" s="482"/>
      <c r="N88" s="482"/>
      <c r="O88" s="482"/>
      <c r="P88" s="482"/>
      <c r="Q88" s="482"/>
      <c r="R88" s="482"/>
      <c r="S88" s="482"/>
      <c r="T88" s="482"/>
      <c r="U88" s="482"/>
      <c r="V88" s="482"/>
      <c r="W88" s="482"/>
      <c r="X88" s="482"/>
      <c r="Y88" s="482"/>
    </row>
    <row r="89" spans="1:25" s="489" customFormat="1" ht="15" x14ac:dyDescent="0.2">
      <c r="A89" s="490"/>
    </row>
    <row r="90" spans="1:25" s="489" customFormat="1" ht="15.75" thickBot="1" x14ac:dyDescent="0.25">
      <c r="A90" s="490"/>
      <c r="B90" s="489" t="s">
        <v>147</v>
      </c>
      <c r="E90" s="504">
        <v>-2869.3</v>
      </c>
      <c r="F90" s="504">
        <v>67.7</v>
      </c>
      <c r="G90" s="504">
        <v>24</v>
      </c>
      <c r="H90" s="504">
        <v>823.5</v>
      </c>
      <c r="I90" s="504">
        <v>53.5</v>
      </c>
      <c r="J90" s="504">
        <v>50.5</v>
      </c>
      <c r="K90" s="504">
        <v>41.8</v>
      </c>
      <c r="L90" s="504">
        <v>31</v>
      </c>
      <c r="M90" s="504"/>
      <c r="N90" s="504"/>
      <c r="O90" s="504"/>
      <c r="P90" s="504"/>
      <c r="Q90" s="504"/>
      <c r="R90" s="504"/>
      <c r="S90" s="504"/>
      <c r="T90" s="504"/>
      <c r="U90" s="504"/>
      <c r="V90" s="504"/>
      <c r="W90" s="504"/>
      <c r="X90" s="504"/>
      <c r="Y90" s="504"/>
    </row>
    <row r="91" spans="1:25" s="489" customFormat="1" ht="15" x14ac:dyDescent="0.2">
      <c r="A91" s="490"/>
      <c r="B91" s="503" t="s">
        <v>150</v>
      </c>
      <c r="C91" s="502"/>
      <c r="D91" s="502"/>
      <c r="E91" s="501"/>
      <c r="F91" s="501"/>
      <c r="G91" s="501"/>
      <c r="H91" s="501"/>
      <c r="I91" s="501"/>
      <c r="J91" s="501"/>
      <c r="K91" s="501"/>
      <c r="L91" s="501"/>
      <c r="M91" s="501"/>
      <c r="N91" s="501"/>
      <c r="O91" s="501"/>
      <c r="P91" s="501"/>
      <c r="Q91" s="501"/>
      <c r="R91" s="501"/>
      <c r="S91" s="501"/>
      <c r="T91" s="501"/>
      <c r="U91" s="501"/>
      <c r="V91" s="501"/>
      <c r="W91" s="501"/>
      <c r="X91" s="501"/>
      <c r="Y91" s="500"/>
    </row>
    <row r="92" spans="1:25" s="489" customFormat="1" ht="15" x14ac:dyDescent="0.2">
      <c r="A92" s="490"/>
      <c r="B92" s="497" t="s">
        <v>161</v>
      </c>
      <c r="C92" s="496"/>
      <c r="D92" s="496"/>
      <c r="E92" s="499">
        <f>146-30</f>
        <v>116</v>
      </c>
      <c r="F92" s="499">
        <f>145.2-24.2</f>
        <v>120.99999999999999</v>
      </c>
      <c r="G92" s="499">
        <f>137.775-26.6</f>
        <v>111.17500000000001</v>
      </c>
      <c r="H92" s="499">
        <f>141.56-23.4</f>
        <v>118.16</v>
      </c>
      <c r="I92" s="499">
        <v>101.8</v>
      </c>
      <c r="J92" s="499">
        <f>+J23-14.8</f>
        <v>92.412000000000006</v>
      </c>
      <c r="K92" s="499">
        <f>+K23-11</f>
        <v>91.05080000000001</v>
      </c>
      <c r="L92" s="499">
        <f>+L23-16</f>
        <v>75.254099999999994</v>
      </c>
      <c r="M92" s="499"/>
      <c r="N92" s="499"/>
      <c r="O92" s="499"/>
      <c r="P92" s="499"/>
      <c r="Q92" s="499"/>
      <c r="R92" s="499"/>
      <c r="S92" s="499"/>
      <c r="T92" s="499"/>
      <c r="U92" s="499"/>
      <c r="V92" s="499"/>
      <c r="W92" s="499"/>
      <c r="X92" s="499"/>
      <c r="Y92" s="498"/>
    </row>
    <row r="93" spans="1:25" s="489" customFormat="1" ht="15" x14ac:dyDescent="0.2">
      <c r="A93" s="490"/>
      <c r="B93" s="497"/>
      <c r="C93" s="496"/>
      <c r="D93" s="496"/>
      <c r="E93" s="496"/>
      <c r="F93" s="496"/>
      <c r="G93" s="496"/>
      <c r="H93" s="496"/>
      <c r="I93" s="496"/>
      <c r="J93" s="496"/>
      <c r="K93" s="496"/>
      <c r="L93" s="496"/>
      <c r="M93" s="496"/>
      <c r="N93" s="496"/>
      <c r="O93" s="496"/>
      <c r="P93" s="496"/>
      <c r="Q93" s="496"/>
      <c r="R93" s="496"/>
      <c r="S93" s="496"/>
      <c r="T93" s="496"/>
      <c r="U93" s="496"/>
      <c r="V93" s="496"/>
      <c r="W93" s="496"/>
      <c r="X93" s="496"/>
      <c r="Y93" s="495"/>
    </row>
    <row r="94" spans="1:25" s="482" customFormat="1" ht="16.5" thickBot="1" x14ac:dyDescent="0.3">
      <c r="A94" s="486"/>
      <c r="B94" s="494" t="s">
        <v>148</v>
      </c>
      <c r="C94" s="492"/>
      <c r="D94" s="492"/>
      <c r="E94" s="492"/>
      <c r="F94" s="493">
        <f>+(F92*4)/F$88</f>
        <v>17.288801571709232</v>
      </c>
      <c r="G94" s="493">
        <f>+(G92*4)/G$88</f>
        <v>15.884979460617968</v>
      </c>
      <c r="H94" s="493">
        <f>+(H92*4)/H$88</f>
        <v>16.883014824075726</v>
      </c>
      <c r="I94" s="493">
        <f>+(I92*4)/I$88</f>
        <v>14.545454545454545</v>
      </c>
      <c r="J94" s="493">
        <f>+(J92*4)/J$88</f>
        <v>13.204072155742097</v>
      </c>
      <c r="K94" s="493">
        <f>+(K92*4)/K$88</f>
        <v>13.00958028219325</v>
      </c>
      <c r="L94" s="493">
        <f>+(L92*4)/L$88</f>
        <v>10.752505804607965</v>
      </c>
      <c r="M94" s="492"/>
      <c r="N94" s="492"/>
      <c r="O94" s="492"/>
      <c r="P94" s="492"/>
      <c r="Q94" s="492"/>
      <c r="R94" s="492"/>
      <c r="S94" s="492"/>
      <c r="T94" s="492"/>
      <c r="U94" s="492"/>
      <c r="V94" s="492"/>
      <c r="W94" s="492"/>
      <c r="X94" s="492"/>
      <c r="Y94" s="491"/>
    </row>
    <row r="95" spans="1:25" s="489" customFormat="1" ht="15" x14ac:dyDescent="0.2">
      <c r="A95" s="490"/>
    </row>
    <row r="96" spans="1:25" s="482" customFormat="1" ht="15.75" x14ac:dyDescent="0.25">
      <c r="A96" s="486"/>
      <c r="B96" s="482" t="s">
        <v>149</v>
      </c>
      <c r="E96" s="488">
        <f>+E23/E$88*4</f>
        <v>20.860868012145026</v>
      </c>
      <c r="F96" s="488">
        <f>+F23/F$88*4</f>
        <v>20.746561886051079</v>
      </c>
      <c r="G96" s="488">
        <f>+G23/G$88*4</f>
        <v>19.689230219682088</v>
      </c>
      <c r="H96" s="488">
        <f>+H23/H$88*4</f>
        <v>20.225040185747456</v>
      </c>
      <c r="I96" s="488">
        <f>+I23/I$88*4</f>
        <v>16.50294695481336</v>
      </c>
      <c r="J96" s="488">
        <f>+J23/J$88*4</f>
        <v>15.318735488480085</v>
      </c>
      <c r="K96" s="488">
        <f>+K23/K$88*4</f>
        <v>14.581289515984999</v>
      </c>
      <c r="L96" s="488">
        <f>+L23/L$88*4</f>
        <v>13.038628326486871</v>
      </c>
    </row>
    <row r="97" spans="1:25" s="482" customFormat="1" ht="15.75" x14ac:dyDescent="0.25">
      <c r="A97" s="486"/>
      <c r="E97" s="488"/>
      <c r="F97" s="488"/>
      <c r="G97" s="488"/>
      <c r="H97" s="488"/>
      <c r="I97" s="488"/>
      <c r="J97" s="488"/>
    </row>
    <row r="98" spans="1:25" s="482" customFormat="1" ht="15.75" x14ac:dyDescent="0.25">
      <c r="A98" s="486"/>
      <c r="B98" s="482" t="s">
        <v>166</v>
      </c>
      <c r="E98" s="488"/>
      <c r="F98" s="488"/>
      <c r="G98" s="488"/>
      <c r="H98" s="488"/>
      <c r="I98" s="488">
        <v>11.79</v>
      </c>
      <c r="J98" s="488">
        <v>12.25</v>
      </c>
      <c r="K98" s="488">
        <v>13.96</v>
      </c>
      <c r="L98" s="488">
        <v>25.02</v>
      </c>
    </row>
    <row r="99" spans="1:25" s="482" customFormat="1" ht="15.75" x14ac:dyDescent="0.25">
      <c r="A99" s="486"/>
      <c r="B99" s="482" t="s">
        <v>167</v>
      </c>
      <c r="E99" s="488"/>
      <c r="F99" s="488"/>
      <c r="G99" s="488"/>
      <c r="H99" s="488"/>
      <c r="I99" s="487">
        <f>+I98/I94</f>
        <v>0.81056249999999996</v>
      </c>
      <c r="J99" s="487">
        <f>+J98/J94</f>
        <v>0.92774409708695837</v>
      </c>
      <c r="K99" s="487">
        <f>+K98/K94</f>
        <v>1.0730553712872375</v>
      </c>
      <c r="L99" s="487">
        <f>+L98/L94</f>
        <v>2.3268994646138883</v>
      </c>
    </row>
    <row r="100" spans="1:25" s="482" customFormat="1" ht="15.75" x14ac:dyDescent="0.25">
      <c r="A100" s="486"/>
      <c r="B100" s="485" t="s">
        <v>175</v>
      </c>
      <c r="C100" s="485"/>
      <c r="D100" s="485"/>
      <c r="E100" s="484"/>
      <c r="F100" s="484"/>
      <c r="G100" s="484"/>
      <c r="H100" s="484"/>
      <c r="I100" s="483">
        <v>1.91</v>
      </c>
      <c r="J100" s="483">
        <v>1.81</v>
      </c>
      <c r="K100" s="483">
        <v>1.51</v>
      </c>
      <c r="L100" s="483">
        <f>+L90/L88</f>
        <v>1.1073405965350955</v>
      </c>
    </row>
    <row r="102" spans="1:25" s="468" customFormat="1" ht="15.75" x14ac:dyDescent="0.25">
      <c r="A102" s="473"/>
      <c r="B102" s="481"/>
      <c r="C102" s="480"/>
      <c r="D102" s="480"/>
      <c r="E102" s="480"/>
      <c r="F102" s="480"/>
      <c r="G102" s="480"/>
      <c r="H102" s="480"/>
      <c r="I102" s="480"/>
      <c r="J102" s="480"/>
      <c r="K102" s="480"/>
      <c r="L102" s="480"/>
      <c r="M102" s="480"/>
      <c r="N102" s="480"/>
      <c r="O102" s="480"/>
      <c r="P102" s="480"/>
      <c r="Q102" s="480"/>
      <c r="R102" s="480"/>
      <c r="S102" s="480"/>
      <c r="T102" s="480"/>
      <c r="U102" s="480"/>
      <c r="V102" s="480"/>
      <c r="W102" s="480"/>
      <c r="X102" s="480"/>
      <c r="Y102" s="479"/>
    </row>
    <row r="103" spans="1:25" s="468" customFormat="1" ht="15.75" x14ac:dyDescent="0.25">
      <c r="A103" s="473"/>
      <c r="B103" s="477" t="s">
        <v>152</v>
      </c>
      <c r="C103" s="475"/>
      <c r="D103" s="475"/>
      <c r="E103" s="475"/>
      <c r="F103" s="475"/>
      <c r="G103" s="475"/>
      <c r="H103" s="478">
        <v>61.75</v>
      </c>
      <c r="I103" s="478">
        <v>86.6</v>
      </c>
      <c r="J103" s="478">
        <v>86.5</v>
      </c>
      <c r="K103" s="475">
        <v>79.2</v>
      </c>
      <c r="L103" s="475">
        <v>88.4</v>
      </c>
      <c r="M103" s="475"/>
      <c r="N103" s="475"/>
      <c r="O103" s="475"/>
      <c r="P103" s="475"/>
      <c r="Q103" s="475"/>
      <c r="R103" s="475"/>
      <c r="S103" s="475"/>
      <c r="T103" s="475"/>
      <c r="U103" s="475"/>
      <c r="V103" s="475"/>
      <c r="W103" s="475"/>
      <c r="X103" s="475"/>
      <c r="Y103" s="474"/>
    </row>
    <row r="104" spans="1:25" s="468" customFormat="1" ht="15.75" x14ac:dyDescent="0.25">
      <c r="A104" s="473"/>
      <c r="B104" s="477" t="s">
        <v>153</v>
      </c>
      <c r="C104" s="475"/>
      <c r="D104" s="475"/>
      <c r="E104" s="475"/>
      <c r="F104" s="475"/>
      <c r="G104" s="475"/>
      <c r="H104" s="478">
        <v>47.98</v>
      </c>
      <c r="I104" s="478">
        <v>67.7</v>
      </c>
      <c r="J104" s="478">
        <v>68.5</v>
      </c>
      <c r="K104" s="475">
        <v>64.3</v>
      </c>
      <c r="L104" s="475">
        <v>74.2</v>
      </c>
      <c r="M104" s="475"/>
      <c r="N104" s="475"/>
      <c r="O104" s="475"/>
      <c r="P104" s="475"/>
      <c r="Q104" s="475"/>
      <c r="R104" s="475"/>
      <c r="S104" s="475"/>
      <c r="T104" s="475"/>
      <c r="U104" s="475"/>
      <c r="V104" s="475"/>
      <c r="W104" s="475"/>
      <c r="X104" s="475"/>
      <c r="Y104" s="474"/>
    </row>
    <row r="105" spans="1:25" s="468" customFormat="1" ht="15.75" x14ac:dyDescent="0.25">
      <c r="A105" s="473"/>
      <c r="B105" s="477"/>
      <c r="C105" s="475"/>
      <c r="D105" s="475"/>
      <c r="E105" s="475"/>
      <c r="F105" s="475"/>
      <c r="G105" s="475"/>
      <c r="H105" s="475"/>
      <c r="I105" s="475"/>
      <c r="J105" s="475"/>
      <c r="K105" s="475"/>
      <c r="L105" s="475"/>
      <c r="M105" s="475"/>
      <c r="N105" s="475"/>
      <c r="O105" s="475"/>
      <c r="P105" s="475"/>
      <c r="Q105" s="475"/>
      <c r="R105" s="475"/>
      <c r="S105" s="475"/>
      <c r="T105" s="475"/>
      <c r="U105" s="475"/>
      <c r="V105" s="475"/>
      <c r="W105" s="475"/>
      <c r="X105" s="475"/>
      <c r="Y105" s="474"/>
    </row>
    <row r="106" spans="1:25" s="468" customFormat="1" ht="15.75" x14ac:dyDescent="0.25">
      <c r="A106" s="473"/>
      <c r="B106" s="477" t="s">
        <v>154</v>
      </c>
      <c r="C106" s="475"/>
      <c r="D106" s="475"/>
      <c r="E106" s="475"/>
      <c r="F106" s="475"/>
      <c r="G106" s="475"/>
      <c r="H106" s="476">
        <f>+H103/$H$88</f>
        <v>2.2057510269691014</v>
      </c>
      <c r="I106" s="476">
        <f>+I103/$H$88</f>
        <v>3.0934095374173958</v>
      </c>
      <c r="J106" s="476">
        <f>+J103/$H$88</f>
        <v>3.0898374709769603</v>
      </c>
      <c r="K106" s="476">
        <f>+K103/$H$88</f>
        <v>2.8290766208251474</v>
      </c>
      <c r="L106" s="476">
        <f>+L103/$H$88</f>
        <v>3.1577067333452402</v>
      </c>
      <c r="M106" s="475"/>
      <c r="N106" s="475"/>
      <c r="O106" s="475"/>
      <c r="P106" s="475"/>
      <c r="Q106" s="475"/>
      <c r="R106" s="475"/>
      <c r="S106" s="475"/>
      <c r="T106" s="475"/>
      <c r="U106" s="475"/>
      <c r="V106" s="475"/>
      <c r="W106" s="475"/>
      <c r="X106" s="475"/>
      <c r="Y106" s="474"/>
    </row>
    <row r="107" spans="1:25" s="468" customFormat="1" ht="15.75" x14ac:dyDescent="0.25">
      <c r="A107" s="473"/>
      <c r="B107" s="477" t="s">
        <v>155</v>
      </c>
      <c r="C107" s="475"/>
      <c r="D107" s="475"/>
      <c r="E107" s="475"/>
      <c r="F107" s="475"/>
      <c r="G107" s="475"/>
      <c r="H107" s="476">
        <f>+H$104/H$88</f>
        <v>1.7138774781210928</v>
      </c>
      <c r="I107" s="476">
        <f>+I$104/H$88</f>
        <v>2.4182889801750314</v>
      </c>
      <c r="J107" s="476">
        <f>+J$104/I$88</f>
        <v>2.4468655116985176</v>
      </c>
      <c r="K107" s="476">
        <f>+K$104/J$88</f>
        <v>2.2968387212002139</v>
      </c>
      <c r="L107" s="476">
        <f>+L$104/K$88</f>
        <v>2.6504732988033579</v>
      </c>
      <c r="M107" s="475"/>
      <c r="N107" s="475"/>
      <c r="O107" s="475"/>
      <c r="P107" s="475"/>
      <c r="Q107" s="475"/>
      <c r="R107" s="475"/>
      <c r="S107" s="475"/>
      <c r="T107" s="475"/>
      <c r="U107" s="475"/>
      <c r="V107" s="475"/>
      <c r="W107" s="475"/>
      <c r="X107" s="475"/>
      <c r="Y107" s="474"/>
    </row>
    <row r="108" spans="1:25" s="468" customFormat="1" ht="15.75" x14ac:dyDescent="0.25">
      <c r="A108" s="473"/>
      <c r="B108" s="472" t="s">
        <v>216</v>
      </c>
      <c r="C108" s="470"/>
      <c r="D108" s="470"/>
      <c r="E108" s="470"/>
      <c r="F108" s="470"/>
      <c r="G108" s="470"/>
      <c r="H108" s="471">
        <f>+H107*4</f>
        <v>6.8555099124843712</v>
      </c>
      <c r="I108" s="471">
        <f>+I107*4</f>
        <v>9.6731559207001254</v>
      </c>
      <c r="J108" s="471">
        <f>+J107*4</f>
        <v>9.7874620467940705</v>
      </c>
      <c r="K108" s="471">
        <f>+K107*4</f>
        <v>9.1873548848008557</v>
      </c>
      <c r="L108" s="471">
        <f>+L107*4</f>
        <v>10.601893195213432</v>
      </c>
      <c r="M108" s="470"/>
      <c r="N108" s="470"/>
      <c r="O108" s="470"/>
      <c r="P108" s="470"/>
      <c r="Q108" s="470"/>
      <c r="R108" s="470"/>
      <c r="S108" s="470"/>
      <c r="T108" s="470"/>
      <c r="U108" s="470"/>
      <c r="V108" s="470"/>
      <c r="W108" s="470"/>
      <c r="X108" s="470"/>
      <c r="Y108" s="469"/>
    </row>
    <row r="109" spans="1:25" s="466" customFormat="1" x14ac:dyDescent="0.2">
      <c r="A109" s="467"/>
    </row>
    <row r="110" spans="1:25" ht="20.25" x14ac:dyDescent="0.3">
      <c r="B110" s="465" t="s">
        <v>156</v>
      </c>
    </row>
    <row r="111" spans="1:25" ht="20.25" x14ac:dyDescent="0.3">
      <c r="B111" s="464" t="s">
        <v>158</v>
      </c>
    </row>
    <row r="112" spans="1:25" ht="20.25" x14ac:dyDescent="0.3">
      <c r="B112" s="464" t="s">
        <v>159</v>
      </c>
    </row>
    <row r="113" spans="2:2" ht="20.25" x14ac:dyDescent="0.3">
      <c r="B113" s="464" t="s">
        <v>157</v>
      </c>
    </row>
  </sheetData>
  <pageMargins left="0.75" right="0.75" top="1" bottom="1" header="0.5" footer="0.5"/>
  <pageSetup paperSize="9" orientation="portrait" horizontalDpi="0" verticalDpi="0" r:id="rId1"/>
  <headerFooter alignWithMargins="0"/>
  <legacy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1"/>
  <dimension ref="A1:V113"/>
  <sheetViews>
    <sheetView workbookViewId="0">
      <selection activeCell="F3" sqref="F3"/>
    </sheetView>
  </sheetViews>
  <sheetFormatPr defaultRowHeight="12.75" x14ac:dyDescent="0.2"/>
  <cols>
    <col min="1" max="1" width="4.5703125" style="6" customWidth="1"/>
    <col min="2" max="2" width="21.42578125" customWidth="1"/>
    <col min="3" max="3" width="8" customWidth="1"/>
    <col min="5" max="5" width="10.85546875" customWidth="1"/>
    <col min="6" max="16" width="9.7109375" customWidth="1"/>
    <col min="17" max="22" width="11.28515625" customWidth="1"/>
  </cols>
  <sheetData>
    <row r="1" spans="1:22" ht="33.75" thickBot="1" x14ac:dyDescent="0.65">
      <c r="B1" s="113" t="s">
        <v>225</v>
      </c>
      <c r="G1" s="98"/>
      <c r="H1" s="65"/>
      <c r="I1" s="64"/>
      <c r="J1" s="65" t="s">
        <v>108</v>
      </c>
      <c r="K1" s="64"/>
      <c r="L1" s="64"/>
    </row>
    <row r="2" spans="1:22" s="98" customFormat="1" ht="36" customHeight="1" thickBot="1" x14ac:dyDescent="0.55000000000000004">
      <c r="A2" s="31"/>
      <c r="B2" s="97"/>
      <c r="G2" s="269"/>
      <c r="H2" s="270"/>
      <c r="I2" s="271"/>
      <c r="J2" s="272" t="s">
        <v>173</v>
      </c>
      <c r="K2" s="271"/>
      <c r="L2" s="271"/>
      <c r="M2" s="273"/>
    </row>
    <row r="3" spans="1:22" ht="20.25" x14ac:dyDescent="0.3">
      <c r="B3" s="114" t="s">
        <v>110</v>
      </c>
      <c r="C3" s="95"/>
      <c r="D3" s="185"/>
      <c r="E3" s="104"/>
      <c r="F3" s="96"/>
    </row>
    <row r="4" spans="1:22" s="19" customFormat="1" ht="16.5" thickBot="1" x14ac:dyDescent="0.3">
      <c r="A4" s="17"/>
      <c r="C4" s="144"/>
      <c r="D4" s="175" t="s">
        <v>20</v>
      </c>
      <c r="E4" s="160" t="s">
        <v>1</v>
      </c>
      <c r="F4" s="20" t="s">
        <v>2</v>
      </c>
      <c r="G4" s="20" t="s">
        <v>3</v>
      </c>
      <c r="H4" s="20" t="s">
        <v>4</v>
      </c>
      <c r="I4" s="21" t="s">
        <v>5</v>
      </c>
      <c r="J4" s="21" t="s">
        <v>6</v>
      </c>
      <c r="K4" s="21" t="s">
        <v>7</v>
      </c>
      <c r="L4" s="21" t="s">
        <v>8</v>
      </c>
      <c r="M4" s="22" t="s">
        <v>9</v>
      </c>
      <c r="N4" s="22" t="s">
        <v>10</v>
      </c>
      <c r="O4" s="22" t="s">
        <v>11</v>
      </c>
      <c r="P4" s="22" t="s">
        <v>12</v>
      </c>
      <c r="Q4" s="274">
        <v>2015</v>
      </c>
      <c r="R4" s="279">
        <v>2016</v>
      </c>
      <c r="S4" s="274">
        <v>2017</v>
      </c>
      <c r="T4" s="279">
        <v>2018</v>
      </c>
      <c r="U4" s="274">
        <v>2019</v>
      </c>
      <c r="V4" s="279">
        <v>2020</v>
      </c>
    </row>
    <row r="5" spans="1:22" s="129" customFormat="1" ht="17.25" thickBot="1" x14ac:dyDescent="0.3">
      <c r="B5" s="136" t="s">
        <v>105</v>
      </c>
      <c r="C5" s="137"/>
      <c r="D5" s="137"/>
      <c r="E5" s="138"/>
      <c r="F5" s="138"/>
      <c r="G5" s="138"/>
      <c r="H5" s="138"/>
      <c r="I5" s="138"/>
      <c r="J5" s="138"/>
      <c r="K5" s="138"/>
      <c r="L5" s="139">
        <v>2.5000000000000001E-2</v>
      </c>
      <c r="M5" s="181">
        <f t="shared" ref="M5:O6" si="0">+L5</f>
        <v>2.5000000000000001E-2</v>
      </c>
      <c r="N5" s="138">
        <f t="shared" si="0"/>
        <v>2.5000000000000001E-2</v>
      </c>
      <c r="O5" s="138">
        <f t="shared" si="0"/>
        <v>2.5000000000000001E-2</v>
      </c>
      <c r="P5" s="139">
        <f>+O5</f>
        <v>2.5000000000000001E-2</v>
      </c>
      <c r="Q5" s="179">
        <v>0.15</v>
      </c>
      <c r="R5" s="179">
        <v>0.15</v>
      </c>
      <c r="S5" s="139">
        <v>0.15</v>
      </c>
      <c r="T5" s="139">
        <v>0.15</v>
      </c>
      <c r="U5" s="139">
        <v>0.15</v>
      </c>
      <c r="V5" s="139">
        <v>0.15</v>
      </c>
    </row>
    <row r="6" spans="1:22" s="129" customFormat="1" ht="17.25" thickBot="1" x14ac:dyDescent="0.3">
      <c r="B6" s="130" t="s">
        <v>106</v>
      </c>
      <c r="C6" s="131"/>
      <c r="D6" s="131"/>
      <c r="E6" s="138"/>
      <c r="F6" s="132"/>
      <c r="G6" s="132"/>
      <c r="H6" s="132"/>
      <c r="I6" s="132"/>
      <c r="J6" s="132"/>
      <c r="K6" s="197"/>
      <c r="L6" s="133">
        <v>-0.06</v>
      </c>
      <c r="M6" s="182">
        <f t="shared" si="0"/>
        <v>-0.06</v>
      </c>
      <c r="N6" s="132">
        <f t="shared" si="0"/>
        <v>-0.06</v>
      </c>
      <c r="O6" s="132">
        <f t="shared" si="0"/>
        <v>-0.06</v>
      </c>
      <c r="P6" s="133">
        <f>+O6</f>
        <v>-0.06</v>
      </c>
      <c r="Q6" s="180">
        <v>-0.15</v>
      </c>
      <c r="R6" s="180">
        <v>-0.15</v>
      </c>
      <c r="S6" s="133">
        <v>-0.1</v>
      </c>
      <c r="T6" s="133">
        <v>-0.05</v>
      </c>
      <c r="U6" s="133">
        <v>0</v>
      </c>
      <c r="V6" s="133">
        <v>0</v>
      </c>
    </row>
    <row r="7" spans="1:22" ht="20.25" x14ac:dyDescent="0.3">
      <c r="B7" s="94"/>
      <c r="C7" s="95"/>
      <c r="D7" s="95"/>
      <c r="E7" s="104"/>
      <c r="F7" s="238"/>
      <c r="G7" s="287"/>
      <c r="H7" s="287"/>
      <c r="I7" s="287"/>
      <c r="J7" s="287">
        <f>L22*0.412</f>
        <v>98.055999999999997</v>
      </c>
      <c r="K7" s="288"/>
    </row>
    <row r="8" spans="1:22" s="16" customFormat="1" ht="15.75" x14ac:dyDescent="0.25">
      <c r="A8" s="17"/>
      <c r="D8" s="155"/>
      <c r="E8" s="189"/>
      <c r="F8" s="189"/>
      <c r="G8" s="189"/>
      <c r="H8" s="189"/>
      <c r="I8" s="189"/>
      <c r="J8" s="189"/>
      <c r="K8" s="289" t="s">
        <v>56</v>
      </c>
    </row>
    <row r="9" spans="1:22" s="19" customFormat="1" x14ac:dyDescent="0.2">
      <c r="A9" s="17"/>
      <c r="C9" s="144" t="s">
        <v>36</v>
      </c>
      <c r="D9" s="175" t="s">
        <v>20</v>
      </c>
      <c r="E9" s="239" t="s">
        <v>1</v>
      </c>
      <c r="F9" s="239" t="s">
        <v>2</v>
      </c>
      <c r="G9" s="239" t="s">
        <v>3</v>
      </c>
      <c r="H9" s="239" t="s">
        <v>4</v>
      </c>
      <c r="I9" s="362" t="s">
        <v>5</v>
      </c>
      <c r="J9" s="362" t="s">
        <v>6</v>
      </c>
      <c r="K9" s="349" t="s">
        <v>7</v>
      </c>
      <c r="L9" s="21" t="s">
        <v>8</v>
      </c>
      <c r="M9" s="22" t="s">
        <v>9</v>
      </c>
      <c r="N9" s="22" t="s">
        <v>10</v>
      </c>
      <c r="O9" s="22" t="s">
        <v>11</v>
      </c>
      <c r="P9" s="22" t="s">
        <v>12</v>
      </c>
      <c r="Q9" s="331">
        <v>2015</v>
      </c>
      <c r="R9" s="115">
        <v>2016</v>
      </c>
      <c r="S9" s="331">
        <v>2017</v>
      </c>
      <c r="T9" s="115">
        <v>2018</v>
      </c>
      <c r="U9" s="331">
        <v>2019</v>
      </c>
      <c r="V9" s="115">
        <v>2020</v>
      </c>
    </row>
    <row r="10" spans="1:22" s="2" customFormat="1" x14ac:dyDescent="0.2">
      <c r="A10" s="31"/>
      <c r="B10" s="53" t="s">
        <v>57</v>
      </c>
      <c r="C10" s="145"/>
      <c r="D10" s="149"/>
      <c r="E10" s="149"/>
      <c r="F10" s="149"/>
      <c r="G10" s="149"/>
      <c r="H10" s="149"/>
      <c r="I10" s="149"/>
      <c r="J10" s="149"/>
      <c r="K10" s="290"/>
    </row>
    <row r="11" spans="1:22" s="2" customFormat="1" x14ac:dyDescent="0.2">
      <c r="A11" s="31"/>
      <c r="B11" s="103"/>
      <c r="C11" s="145"/>
      <c r="D11" s="149"/>
      <c r="E11" s="149"/>
      <c r="F11" s="149"/>
      <c r="G11" s="149"/>
      <c r="H11" s="149"/>
      <c r="I11" s="149"/>
      <c r="J11" s="149"/>
      <c r="K11" s="290"/>
    </row>
    <row r="12" spans="1:22" s="2" customFormat="1" x14ac:dyDescent="0.2">
      <c r="A12" s="31"/>
      <c r="B12" s="72" t="s">
        <v>73</v>
      </c>
      <c r="C12" s="145"/>
      <c r="D12" s="157">
        <v>90</v>
      </c>
      <c r="E12" s="157">
        <v>85.9</v>
      </c>
      <c r="F12" s="157">
        <v>89.7</v>
      </c>
      <c r="G12" s="157">
        <v>92</v>
      </c>
      <c r="H12" s="157">
        <v>99.7</v>
      </c>
      <c r="I12" s="157">
        <v>98.9</v>
      </c>
      <c r="J12" s="157">
        <v>98.4</v>
      </c>
      <c r="K12" s="291">
        <v>101.6</v>
      </c>
      <c r="L12" s="12">
        <v>107.4</v>
      </c>
      <c r="M12" s="12">
        <f>+L12*(1+M13)</f>
        <v>110.08499999999999</v>
      </c>
      <c r="N12" s="12">
        <f>+M12*(1+N13)</f>
        <v>112.83712499999999</v>
      </c>
      <c r="O12" s="12">
        <f>+N12*(1+O13)</f>
        <v>115.65805312499998</v>
      </c>
      <c r="P12" s="12">
        <f>+O12*(1+P13)</f>
        <v>118.54950445312497</v>
      </c>
      <c r="Q12" s="12">
        <f>+P12*4</f>
        <v>474.19801781249987</v>
      </c>
      <c r="R12" s="12">
        <f>+Q12*(1+R13)</f>
        <v>545.32772048437482</v>
      </c>
      <c r="S12" s="12">
        <f>+R12*(1+S13)</f>
        <v>627.12687855703098</v>
      </c>
      <c r="T12" s="12">
        <f>+S12*(1+T13)</f>
        <v>721.19591034058556</v>
      </c>
      <c r="U12" s="12">
        <f>+T12*(1+U13)</f>
        <v>829.37529689167332</v>
      </c>
      <c r="V12" s="12">
        <f>+U12*(1+V13)</f>
        <v>953.78159142542427</v>
      </c>
    </row>
    <row r="13" spans="1:22" s="2" customFormat="1" x14ac:dyDescent="0.2">
      <c r="A13" s="31"/>
      <c r="B13" s="73" t="s">
        <v>76</v>
      </c>
      <c r="C13" s="146"/>
      <c r="D13" s="146"/>
      <c r="E13" s="191">
        <f t="shared" ref="E13:L13" si="1">(+E12-D12)/D12</f>
        <v>-4.5555555555555495E-2</v>
      </c>
      <c r="F13" s="191">
        <f t="shared" si="1"/>
        <v>4.4237485448195543E-2</v>
      </c>
      <c r="G13" s="191">
        <f t="shared" si="1"/>
        <v>2.5641025641025609E-2</v>
      </c>
      <c r="H13" s="191">
        <f t="shared" si="1"/>
        <v>8.3695652173913074E-2</v>
      </c>
      <c r="I13" s="191">
        <f t="shared" si="1"/>
        <v>-8.0240722166499204E-3</v>
      </c>
      <c r="J13" s="191">
        <f t="shared" si="1"/>
        <v>-5.0556117290192111E-3</v>
      </c>
      <c r="K13" s="294">
        <f t="shared" si="1"/>
        <v>3.2520325203251918E-2</v>
      </c>
      <c r="L13" s="77">
        <f t="shared" si="1"/>
        <v>5.708661417322846E-2</v>
      </c>
      <c r="M13" s="77">
        <f t="shared" ref="M13:R13" si="2">+M5</f>
        <v>2.5000000000000001E-2</v>
      </c>
      <c r="N13" s="77">
        <f t="shared" si="2"/>
        <v>2.5000000000000001E-2</v>
      </c>
      <c r="O13" s="77">
        <f t="shared" si="2"/>
        <v>2.5000000000000001E-2</v>
      </c>
      <c r="P13" s="77">
        <f t="shared" si="2"/>
        <v>2.5000000000000001E-2</v>
      </c>
      <c r="Q13" s="77">
        <f t="shared" si="2"/>
        <v>0.15</v>
      </c>
      <c r="R13" s="77">
        <f t="shared" si="2"/>
        <v>0.15</v>
      </c>
      <c r="S13" s="77">
        <f>+S5</f>
        <v>0.15</v>
      </c>
      <c r="T13" s="77">
        <f>+T5</f>
        <v>0.15</v>
      </c>
      <c r="U13" s="77">
        <f>+U5</f>
        <v>0.15</v>
      </c>
      <c r="V13" s="77">
        <f>+V5</f>
        <v>0.15</v>
      </c>
    </row>
    <row r="14" spans="1:22" s="111" customFormat="1" x14ac:dyDescent="0.2">
      <c r="A14" s="109"/>
      <c r="B14" s="110" t="s">
        <v>122</v>
      </c>
      <c r="C14" s="107"/>
      <c r="D14" s="107">
        <v>0.39400000000000002</v>
      </c>
      <c r="E14" s="107">
        <v>0.4</v>
      </c>
      <c r="F14" s="107">
        <f t="shared" ref="F14" si="3">+E14</f>
        <v>0.4</v>
      </c>
      <c r="G14" s="107">
        <v>0.43</v>
      </c>
      <c r="H14" s="107">
        <v>0.495</v>
      </c>
      <c r="I14" s="107">
        <v>0.43</v>
      </c>
      <c r="J14" s="107">
        <v>0.42</v>
      </c>
      <c r="K14" s="293">
        <v>0.41899999999999998</v>
      </c>
      <c r="L14" s="111">
        <v>0.40500000000000003</v>
      </c>
      <c r="M14" s="111">
        <v>0.40500000000000003</v>
      </c>
      <c r="N14" s="111">
        <v>0.40500000000000003</v>
      </c>
      <c r="O14" s="111">
        <v>0.40500000000000003</v>
      </c>
      <c r="P14" s="111">
        <v>0.40500000000000003</v>
      </c>
      <c r="Q14" s="111">
        <v>0.40500000000000003</v>
      </c>
      <c r="R14" s="111">
        <v>0.40500000000000003</v>
      </c>
      <c r="S14" s="111">
        <f>+R14</f>
        <v>0.40500000000000003</v>
      </c>
      <c r="T14" s="111">
        <f>+S14</f>
        <v>0.40500000000000003</v>
      </c>
      <c r="U14" s="111">
        <f>+T14</f>
        <v>0.40500000000000003</v>
      </c>
      <c r="V14" s="111">
        <f>+U14</f>
        <v>0.40500000000000003</v>
      </c>
    </row>
    <row r="15" spans="1:22" s="2" customFormat="1" x14ac:dyDescent="0.2">
      <c r="A15" s="31"/>
      <c r="B15" s="26" t="s">
        <v>75</v>
      </c>
      <c r="C15" s="145"/>
      <c r="D15" s="80">
        <f>+D12*D14</f>
        <v>35.46</v>
      </c>
      <c r="E15" s="80">
        <f>+E12*E14</f>
        <v>34.360000000000007</v>
      </c>
      <c r="F15" s="80">
        <f t="shared" ref="F15:R15" si="4">+F12*F14</f>
        <v>35.880000000000003</v>
      </c>
      <c r="G15" s="80">
        <f t="shared" si="4"/>
        <v>39.56</v>
      </c>
      <c r="H15" s="80">
        <f t="shared" si="4"/>
        <v>49.351500000000001</v>
      </c>
      <c r="I15" s="80">
        <f t="shared" si="4"/>
        <v>42.527000000000001</v>
      </c>
      <c r="J15" s="80">
        <f t="shared" si="4"/>
        <v>41.328000000000003</v>
      </c>
      <c r="K15" s="205">
        <f t="shared" si="4"/>
        <v>42.570399999999999</v>
      </c>
      <c r="L15" s="80">
        <f t="shared" si="4"/>
        <v>43.497000000000007</v>
      </c>
      <c r="M15" s="80">
        <f t="shared" si="4"/>
        <v>44.584425000000003</v>
      </c>
      <c r="N15" s="80">
        <f t="shared" si="4"/>
        <v>45.699035625</v>
      </c>
      <c r="O15" s="80">
        <f t="shared" si="4"/>
        <v>46.841511515624994</v>
      </c>
      <c r="P15" s="80">
        <f t="shared" si="4"/>
        <v>48.012549303515613</v>
      </c>
      <c r="Q15" s="80">
        <f t="shared" si="4"/>
        <v>192.05019721406245</v>
      </c>
      <c r="R15" s="80">
        <f t="shared" si="4"/>
        <v>220.85772679617182</v>
      </c>
      <c r="S15" s="80">
        <f>+S12*S14</f>
        <v>253.98638581559757</v>
      </c>
      <c r="T15" s="80">
        <f>+T12*T14</f>
        <v>292.08434368793718</v>
      </c>
      <c r="U15" s="80">
        <f>+U12*U14</f>
        <v>335.89699524112774</v>
      </c>
      <c r="V15" s="80">
        <f>+V12*V14</f>
        <v>386.28154452729683</v>
      </c>
    </row>
    <row r="16" spans="1:22" s="2" customFormat="1" x14ac:dyDescent="0.2">
      <c r="A16" s="31"/>
      <c r="B16" s="72"/>
      <c r="C16" s="145"/>
      <c r="D16" s="157"/>
      <c r="E16" s="157"/>
      <c r="F16" s="157"/>
      <c r="G16" s="157"/>
      <c r="H16" s="157"/>
      <c r="I16" s="157"/>
      <c r="J16" s="157"/>
      <c r="K16" s="291"/>
      <c r="L16" s="12"/>
      <c r="M16" s="12"/>
      <c r="N16" s="12"/>
      <c r="O16" s="12"/>
      <c r="P16" s="12"/>
      <c r="Q16" s="12"/>
      <c r="R16" s="12"/>
      <c r="S16" s="12"/>
      <c r="T16" s="12"/>
      <c r="U16" s="12"/>
      <c r="V16" s="12"/>
    </row>
    <row r="17" spans="1:22" s="2" customFormat="1" x14ac:dyDescent="0.2">
      <c r="A17" s="31"/>
      <c r="B17" s="72" t="s">
        <v>74</v>
      </c>
      <c r="C17" s="145"/>
      <c r="D17" s="157">
        <v>223.3</v>
      </c>
      <c r="E17" s="157">
        <f>+E22-E12</f>
        <v>203.20000000000002</v>
      </c>
      <c r="F17" s="157">
        <f>+F22-F12</f>
        <v>196.8</v>
      </c>
      <c r="G17" s="157">
        <f>+G22-G12</f>
        <v>175.7</v>
      </c>
      <c r="H17" s="157">
        <f>+H22-H12</f>
        <v>164.7</v>
      </c>
      <c r="I17" s="157">
        <v>154.4</v>
      </c>
      <c r="J17" s="157">
        <f>243.2-J12</f>
        <v>144.79999999999998</v>
      </c>
      <c r="K17" s="291">
        <f>237.4-K12</f>
        <v>135.80000000000001</v>
      </c>
      <c r="L17" s="12">
        <v>130.6</v>
      </c>
      <c r="M17" s="12">
        <f t="shared" ref="M17:R17" si="5">+L17*(1+M18)</f>
        <v>122.76399999999998</v>
      </c>
      <c r="N17" s="12">
        <f t="shared" si="5"/>
        <v>115.39815999999998</v>
      </c>
      <c r="O17" s="12">
        <f t="shared" si="5"/>
        <v>108.47427039999997</v>
      </c>
      <c r="P17" s="12">
        <f t="shared" si="5"/>
        <v>101.96581417599997</v>
      </c>
      <c r="Q17" s="12">
        <f>+P17*4</f>
        <v>407.86325670399987</v>
      </c>
      <c r="R17" s="12">
        <f t="shared" si="5"/>
        <v>346.68376819839989</v>
      </c>
      <c r="S17" s="12">
        <f>+R17*(1+S18)</f>
        <v>312.01539137855991</v>
      </c>
      <c r="T17" s="12">
        <f>+S17*(1+T18)</f>
        <v>296.41462180963191</v>
      </c>
      <c r="U17" s="12">
        <f>+T17*(1+U18)</f>
        <v>296.41462180963191</v>
      </c>
      <c r="V17" s="12">
        <f>+U17*(1+V18)</f>
        <v>296.41462180963191</v>
      </c>
    </row>
    <row r="18" spans="1:22" s="2" customFormat="1" x14ac:dyDescent="0.2">
      <c r="A18" s="31"/>
      <c r="B18" s="73" t="s">
        <v>79</v>
      </c>
      <c r="C18" s="145"/>
      <c r="D18" s="157"/>
      <c r="E18" s="191">
        <f t="shared" ref="E18:L18" si="6">(+E17-D17)/D17</f>
        <v>-9.001343484102102E-2</v>
      </c>
      <c r="F18" s="191">
        <f t="shared" si="6"/>
        <v>-3.1496062992126012E-2</v>
      </c>
      <c r="G18" s="191">
        <f t="shared" si="6"/>
        <v>-0.10721544715447165</v>
      </c>
      <c r="H18" s="191">
        <f t="shared" si="6"/>
        <v>-6.2606715993170178E-2</v>
      </c>
      <c r="I18" s="191">
        <f t="shared" si="6"/>
        <v>-6.2537947783849329E-2</v>
      </c>
      <c r="J18" s="191">
        <f t="shared" si="6"/>
        <v>-6.2176165803108953E-2</v>
      </c>
      <c r="K18" s="294">
        <f t="shared" si="6"/>
        <v>-6.2154696132596499E-2</v>
      </c>
      <c r="L18" s="78">
        <f t="shared" si="6"/>
        <v>-3.8291605301914701E-2</v>
      </c>
      <c r="M18" s="78">
        <f t="shared" ref="M18:R18" si="7">+M6</f>
        <v>-0.06</v>
      </c>
      <c r="N18" s="78">
        <f t="shared" si="7"/>
        <v>-0.06</v>
      </c>
      <c r="O18" s="78">
        <f t="shared" si="7"/>
        <v>-0.06</v>
      </c>
      <c r="P18" s="78">
        <f t="shared" si="7"/>
        <v>-0.06</v>
      </c>
      <c r="Q18" s="78">
        <f t="shared" si="7"/>
        <v>-0.15</v>
      </c>
      <c r="R18" s="78">
        <f t="shared" si="7"/>
        <v>-0.15</v>
      </c>
      <c r="S18" s="78">
        <f>+S6</f>
        <v>-0.1</v>
      </c>
      <c r="T18" s="78">
        <f>+T6</f>
        <v>-0.05</v>
      </c>
      <c r="U18" s="78">
        <f>+U6</f>
        <v>0</v>
      </c>
      <c r="V18" s="78">
        <f>+V6</f>
        <v>0</v>
      </c>
    </row>
    <row r="19" spans="1:22" s="111" customFormat="1" x14ac:dyDescent="0.2">
      <c r="A19" s="109"/>
      <c r="B19" s="110" t="s">
        <v>122</v>
      </c>
      <c r="C19" s="147"/>
      <c r="D19" s="107">
        <v>0.5</v>
      </c>
      <c r="E19" s="107">
        <f>+E20/E17</f>
        <v>0.54940944881889753</v>
      </c>
      <c r="F19" s="107">
        <f>+F20/F17</f>
        <v>0.55548780487804872</v>
      </c>
      <c r="G19" s="107">
        <f>+G20/G17</f>
        <v>0.55913488901536723</v>
      </c>
      <c r="H19" s="107">
        <f>+H20/H17</f>
        <v>0.55979659987856722</v>
      </c>
      <c r="I19" s="107">
        <f>+I20/I17</f>
        <v>0.4726230569948186</v>
      </c>
      <c r="J19" s="107">
        <v>0.45500000000000002</v>
      </c>
      <c r="K19" s="293">
        <v>0.438</v>
      </c>
      <c r="L19" s="107">
        <v>0.42</v>
      </c>
      <c r="M19" s="107">
        <v>0.42</v>
      </c>
      <c r="N19" s="107">
        <v>0.42</v>
      </c>
      <c r="O19" s="107">
        <v>0.42</v>
      </c>
      <c r="P19" s="107">
        <v>0.42</v>
      </c>
      <c r="Q19" s="107">
        <v>0.42</v>
      </c>
      <c r="R19" s="107">
        <v>0.42</v>
      </c>
      <c r="S19" s="107">
        <v>0.43</v>
      </c>
      <c r="T19" s="107">
        <v>0.43</v>
      </c>
      <c r="U19" s="107">
        <v>0.43</v>
      </c>
      <c r="V19" s="107">
        <v>0.53</v>
      </c>
    </row>
    <row r="20" spans="1:22" s="2" customFormat="1" x14ac:dyDescent="0.2">
      <c r="A20" s="31"/>
      <c r="B20" s="26" t="s">
        <v>77</v>
      </c>
      <c r="C20" s="145"/>
      <c r="D20" s="80">
        <f>+D17*D19</f>
        <v>111.65</v>
      </c>
      <c r="E20" s="80">
        <f>+E23-E15</f>
        <v>111.63999999999999</v>
      </c>
      <c r="F20" s="80">
        <f>+F23-F15</f>
        <v>109.32</v>
      </c>
      <c r="G20" s="80">
        <f>+G23-G15</f>
        <v>98.240000000000009</v>
      </c>
      <c r="H20" s="80">
        <f>+H23-H15</f>
        <v>92.19850000000001</v>
      </c>
      <c r="I20" s="80">
        <f>+I23-I15</f>
        <v>72.972999999999999</v>
      </c>
      <c r="J20" s="80">
        <f t="shared" ref="J20:R20" si="8">+J17*J19</f>
        <v>65.884</v>
      </c>
      <c r="K20" s="205">
        <f t="shared" si="8"/>
        <v>59.480400000000003</v>
      </c>
      <c r="L20" s="80">
        <f t="shared" si="8"/>
        <v>54.851999999999997</v>
      </c>
      <c r="M20" s="80">
        <f t="shared" si="8"/>
        <v>51.56087999999999</v>
      </c>
      <c r="N20" s="80">
        <f t="shared" si="8"/>
        <v>48.467227199999989</v>
      </c>
      <c r="O20" s="80">
        <f t="shared" si="8"/>
        <v>45.559193567999984</v>
      </c>
      <c r="P20" s="80">
        <f t="shared" si="8"/>
        <v>42.825641953919984</v>
      </c>
      <c r="Q20" s="80">
        <f t="shared" si="8"/>
        <v>171.30256781567994</v>
      </c>
      <c r="R20" s="80">
        <f t="shared" si="8"/>
        <v>145.60718264332795</v>
      </c>
      <c r="S20" s="80">
        <f>+S17*S19</f>
        <v>134.16661829278075</v>
      </c>
      <c r="T20" s="80">
        <f>+T17*T19</f>
        <v>127.45828737814172</v>
      </c>
      <c r="U20" s="80">
        <f>+U17*U19</f>
        <v>127.45828737814172</v>
      </c>
      <c r="V20" s="80">
        <f>+V17*V19</f>
        <v>157.09974955910491</v>
      </c>
    </row>
    <row r="21" spans="1:22" s="2" customFormat="1" x14ac:dyDescent="0.2">
      <c r="A21" s="31"/>
      <c r="B21" s="73"/>
      <c r="C21" s="145"/>
      <c r="D21" s="38"/>
      <c r="E21" s="38"/>
      <c r="F21" s="38"/>
      <c r="G21" s="38"/>
      <c r="H21" s="38"/>
      <c r="I21" s="38"/>
      <c r="J21" s="38"/>
      <c r="K21" s="295"/>
      <c r="L21" s="38"/>
      <c r="M21" s="38"/>
      <c r="N21" s="38"/>
      <c r="O21" s="38"/>
      <c r="P21" s="38"/>
      <c r="Q21" s="38"/>
      <c r="R21" s="38"/>
      <c r="S21" s="38"/>
      <c r="T21" s="38"/>
      <c r="U21" s="38"/>
      <c r="V21" s="38"/>
    </row>
    <row r="22" spans="1:22" s="2" customFormat="1" x14ac:dyDescent="0.2">
      <c r="A22" s="31"/>
      <c r="B22" s="73" t="s">
        <v>80</v>
      </c>
      <c r="C22" s="145"/>
      <c r="D22" s="157">
        <f>+D12+D17</f>
        <v>313.3</v>
      </c>
      <c r="E22" s="157">
        <v>289.10000000000002</v>
      </c>
      <c r="F22" s="157">
        <v>286.5</v>
      </c>
      <c r="G22" s="157">
        <v>267.7</v>
      </c>
      <c r="H22" s="157">
        <v>264.39999999999998</v>
      </c>
      <c r="I22" s="157">
        <f t="shared" ref="I22:R22" si="9">+I12+I17</f>
        <v>253.3</v>
      </c>
      <c r="J22" s="157">
        <f t="shared" si="9"/>
        <v>243.2</v>
      </c>
      <c r="K22" s="291">
        <f t="shared" si="9"/>
        <v>237.4</v>
      </c>
      <c r="L22" s="12">
        <f t="shared" si="9"/>
        <v>238</v>
      </c>
      <c r="M22" s="12">
        <f t="shared" si="9"/>
        <v>232.84899999999999</v>
      </c>
      <c r="N22" s="12">
        <f t="shared" si="9"/>
        <v>228.23528499999998</v>
      </c>
      <c r="O22" s="12">
        <f t="shared" si="9"/>
        <v>224.13232352499995</v>
      </c>
      <c r="P22" s="12">
        <f t="shared" si="9"/>
        <v>220.51531862912492</v>
      </c>
      <c r="Q22" s="12">
        <f t="shared" si="9"/>
        <v>882.06127451649968</v>
      </c>
      <c r="R22" s="12">
        <f t="shared" si="9"/>
        <v>892.01148868277471</v>
      </c>
      <c r="S22" s="12">
        <f>+S12+S17</f>
        <v>939.14226993559089</v>
      </c>
      <c r="T22" s="12">
        <f>+T12+T17</f>
        <v>1017.6105321502175</v>
      </c>
      <c r="U22" s="12">
        <f>+U12+U17</f>
        <v>1125.7899187013052</v>
      </c>
      <c r="V22" s="12">
        <f>+V12+V17</f>
        <v>1250.1962132350561</v>
      </c>
    </row>
    <row r="23" spans="1:22" s="26" customFormat="1" ht="13.5" thickBot="1" x14ac:dyDescent="0.25">
      <c r="A23" s="32" t="s">
        <v>15</v>
      </c>
      <c r="B23" s="32" t="s">
        <v>112</v>
      </c>
      <c r="C23" s="148"/>
      <c r="D23" s="81">
        <f>+D15+D20</f>
        <v>147.11000000000001</v>
      </c>
      <c r="E23" s="81">
        <v>146</v>
      </c>
      <c r="F23" s="81">
        <v>145.19999999999999</v>
      </c>
      <c r="G23" s="81">
        <v>137.80000000000001</v>
      </c>
      <c r="H23" s="81">
        <v>141.55000000000001</v>
      </c>
      <c r="I23" s="81">
        <v>115.5</v>
      </c>
      <c r="J23" s="81">
        <f t="shared" ref="J23:R23" si="10">+J15+J20</f>
        <v>107.212</v>
      </c>
      <c r="K23" s="208">
        <f t="shared" si="10"/>
        <v>102.05080000000001</v>
      </c>
      <c r="L23" s="81">
        <f t="shared" si="10"/>
        <v>98.349000000000004</v>
      </c>
      <c r="M23" s="81">
        <f t="shared" si="10"/>
        <v>96.145304999999993</v>
      </c>
      <c r="N23" s="81">
        <f t="shared" si="10"/>
        <v>94.16626282499999</v>
      </c>
      <c r="O23" s="81">
        <f t="shared" si="10"/>
        <v>92.400705083624985</v>
      </c>
      <c r="P23" s="81">
        <f t="shared" si="10"/>
        <v>90.838191257435597</v>
      </c>
      <c r="Q23" s="81">
        <f t="shared" si="10"/>
        <v>363.35276502974239</v>
      </c>
      <c r="R23" s="81">
        <f t="shared" si="10"/>
        <v>366.46490943949976</v>
      </c>
      <c r="S23" s="81">
        <f>+S15+S20</f>
        <v>388.15300410837835</v>
      </c>
      <c r="T23" s="81">
        <f>+T15+T20</f>
        <v>419.54263106607891</v>
      </c>
      <c r="U23" s="81">
        <f>+U15+U20</f>
        <v>463.35528261926947</v>
      </c>
      <c r="V23" s="81">
        <f>+V15+V20</f>
        <v>543.38129408640179</v>
      </c>
    </row>
    <row r="24" spans="1:22" s="26" customFormat="1" ht="13.5" thickTop="1" x14ac:dyDescent="0.2">
      <c r="A24" s="32"/>
      <c r="B24" s="26" t="s">
        <v>81</v>
      </c>
      <c r="C24" s="148" t="s">
        <v>125</v>
      </c>
      <c r="D24" s="83">
        <f>+D23/D22</f>
        <v>0.46954995212256628</v>
      </c>
      <c r="E24" s="241">
        <f>+E23/E22</f>
        <v>0.50501556554825311</v>
      </c>
      <c r="F24" s="241">
        <f>+F23/F22</f>
        <v>0.50680628272251305</v>
      </c>
      <c r="G24" s="241">
        <f t="shared" ref="G24:R24" si="11">+G23/G22</f>
        <v>0.51475532312289884</v>
      </c>
      <c r="H24" s="241">
        <f t="shared" si="11"/>
        <v>0.53536308623298046</v>
      </c>
      <c r="I24" s="240">
        <f t="shared" si="11"/>
        <v>0.45598105013817608</v>
      </c>
      <c r="J24" s="240">
        <f t="shared" si="11"/>
        <v>0.4408388157894737</v>
      </c>
      <c r="K24" s="350">
        <f t="shared" si="11"/>
        <v>0.42986857624262853</v>
      </c>
      <c r="L24" s="240">
        <f t="shared" si="11"/>
        <v>0.41323109243697481</v>
      </c>
      <c r="M24" s="251">
        <f t="shared" si="11"/>
        <v>0.41290838698040361</v>
      </c>
      <c r="N24" s="251">
        <f t="shared" si="11"/>
        <v>0.41258415772565576</v>
      </c>
      <c r="O24" s="251">
        <f t="shared" si="11"/>
        <v>0.41225961356403157</v>
      </c>
      <c r="P24" s="251">
        <f t="shared" si="11"/>
        <v>0.41193596808669958</v>
      </c>
      <c r="Q24" s="276">
        <f t="shared" si="11"/>
        <v>0.41193596808669958</v>
      </c>
      <c r="R24" s="241">
        <f t="shared" si="11"/>
        <v>0.41082980890824083</v>
      </c>
      <c r="S24" s="276">
        <f>+S23/S22</f>
        <v>0.41330586060725283</v>
      </c>
      <c r="T24" s="241">
        <f>+T23/T22</f>
        <v>0.41228212347565102</v>
      </c>
      <c r="U24" s="276">
        <f>+U23/U22</f>
        <v>0.41158236978510998</v>
      </c>
      <c r="V24" s="241">
        <f>+V23/V22</f>
        <v>0.43463681007345822</v>
      </c>
    </row>
    <row r="25" spans="1:22" s="2" customFormat="1" x14ac:dyDescent="0.2">
      <c r="A25" s="31"/>
      <c r="B25" s="103"/>
      <c r="C25" s="145"/>
      <c r="D25" s="149"/>
      <c r="E25" s="149"/>
      <c r="F25" s="149"/>
      <c r="G25" s="149"/>
      <c r="H25" s="149"/>
      <c r="I25" s="149"/>
      <c r="J25" s="149"/>
      <c r="K25" s="290"/>
    </row>
    <row r="26" spans="1:22" s="26" customFormat="1" x14ac:dyDescent="0.2">
      <c r="A26" s="32"/>
      <c r="B26" s="25"/>
      <c r="C26" s="148"/>
      <c r="D26" s="38"/>
      <c r="E26" s="38"/>
      <c r="F26" s="38"/>
      <c r="G26" s="38"/>
      <c r="H26" s="38"/>
      <c r="I26" s="38"/>
      <c r="J26" s="38"/>
      <c r="K26" s="295"/>
      <c r="L26" s="38"/>
      <c r="M26" s="38"/>
      <c r="N26" s="38"/>
      <c r="O26" s="38"/>
      <c r="P26" s="38"/>
      <c r="Q26" s="38"/>
      <c r="R26" s="38"/>
      <c r="S26" s="38"/>
      <c r="T26" s="38"/>
      <c r="U26" s="38"/>
      <c r="V26" s="38"/>
    </row>
    <row r="27" spans="1:22" s="2" customFormat="1" x14ac:dyDescent="0.2">
      <c r="A27" s="31"/>
      <c r="B27" s="53" t="s">
        <v>47</v>
      </c>
      <c r="C27" s="149"/>
      <c r="D27" s="157"/>
      <c r="E27" s="157"/>
      <c r="F27" s="157"/>
      <c r="G27" s="157"/>
      <c r="H27" s="157"/>
      <c r="I27" s="157"/>
      <c r="J27" s="157"/>
      <c r="K27" s="291"/>
      <c r="L27" s="12"/>
      <c r="M27" s="12"/>
      <c r="N27" s="12"/>
      <c r="O27" s="12"/>
      <c r="P27" s="12"/>
      <c r="Q27" s="12"/>
      <c r="R27" s="12"/>
      <c r="S27" s="12"/>
      <c r="T27" s="12"/>
      <c r="U27" s="12"/>
      <c r="V27" s="12"/>
    </row>
    <row r="28" spans="1:22" s="2" customFormat="1" x14ac:dyDescent="0.2">
      <c r="A28" s="31"/>
      <c r="B28" s="25" t="s">
        <v>17</v>
      </c>
      <c r="C28" s="149"/>
      <c r="D28" s="157"/>
      <c r="E28" s="157"/>
      <c r="F28" s="157"/>
      <c r="G28" s="157"/>
      <c r="H28" s="157"/>
      <c r="I28" s="157"/>
      <c r="J28" s="157"/>
      <c r="K28" s="291"/>
      <c r="L28" s="12"/>
      <c r="M28" s="12"/>
      <c r="N28" s="12"/>
      <c r="O28" s="12"/>
      <c r="P28" s="12"/>
      <c r="Q28" s="12"/>
      <c r="R28" s="12"/>
      <c r="S28" s="12"/>
      <c r="T28" s="12"/>
      <c r="U28" s="12"/>
      <c r="V28" s="12"/>
    </row>
    <row r="29" spans="1:22" s="2" customFormat="1" x14ac:dyDescent="0.2">
      <c r="A29" s="31"/>
      <c r="B29" s="1" t="s">
        <v>89</v>
      </c>
      <c r="C29" s="149"/>
      <c r="D29" s="157">
        <v>3.3250000000000002</v>
      </c>
      <c r="E29" s="157">
        <v>2.0699999999999998</v>
      </c>
      <c r="F29" s="157">
        <v>1.7825</v>
      </c>
      <c r="G29" s="157">
        <v>1.4950000000000001</v>
      </c>
      <c r="H29" s="157">
        <v>1.2075</v>
      </c>
      <c r="I29" s="157"/>
      <c r="J29" s="157"/>
      <c r="K29" s="291"/>
      <c r="L29" s="12"/>
      <c r="M29" s="12"/>
      <c r="N29" s="12"/>
      <c r="O29" s="12"/>
      <c r="P29" s="12"/>
      <c r="Q29" s="12"/>
      <c r="R29" s="12"/>
      <c r="S29" s="12"/>
      <c r="T29" s="12"/>
      <c r="U29" s="12"/>
      <c r="V29" s="12"/>
    </row>
    <row r="30" spans="1:22" s="2" customFormat="1" x14ac:dyDescent="0.2">
      <c r="A30" s="31"/>
      <c r="B30" s="1" t="s">
        <v>90</v>
      </c>
      <c r="C30" s="149"/>
      <c r="D30" s="157"/>
      <c r="E30" s="157">
        <v>2.629</v>
      </c>
      <c r="F30" s="157">
        <v>2.629</v>
      </c>
      <c r="G30" s="157">
        <v>2.629</v>
      </c>
      <c r="H30" s="157">
        <v>2.629</v>
      </c>
      <c r="I30" s="157"/>
      <c r="J30" s="157"/>
      <c r="K30" s="291"/>
      <c r="L30" s="12"/>
      <c r="M30" s="12"/>
      <c r="N30" s="12"/>
      <c r="O30" s="12"/>
      <c r="P30" s="12"/>
      <c r="Q30" s="12"/>
      <c r="R30" s="12"/>
      <c r="S30" s="12"/>
      <c r="T30" s="12"/>
      <c r="U30" s="12"/>
      <c r="V30" s="12"/>
    </row>
    <row r="31" spans="1:22" s="2" customFormat="1" x14ac:dyDescent="0.2">
      <c r="A31" s="31"/>
      <c r="B31" s="1" t="s">
        <v>25</v>
      </c>
      <c r="C31" s="187"/>
      <c r="D31" s="157">
        <v>0</v>
      </c>
      <c r="E31" s="157">
        <v>0</v>
      </c>
      <c r="F31" s="157"/>
      <c r="G31" s="157"/>
      <c r="H31" s="157"/>
      <c r="I31" s="157"/>
      <c r="J31" s="157"/>
      <c r="K31" s="291"/>
      <c r="L31" s="12"/>
      <c r="M31" s="12"/>
      <c r="N31" s="12"/>
      <c r="O31" s="12"/>
      <c r="P31" s="12"/>
      <c r="Q31" s="12"/>
      <c r="R31" s="12"/>
      <c r="S31" s="12"/>
      <c r="T31" s="12"/>
      <c r="U31" s="12"/>
      <c r="V31" s="12"/>
    </row>
    <row r="32" spans="1:22" s="2" customFormat="1" x14ac:dyDescent="0.2">
      <c r="A32" s="31"/>
      <c r="B32" s="1" t="s">
        <v>34</v>
      </c>
      <c r="C32" s="149"/>
      <c r="D32" s="157">
        <v>2.875</v>
      </c>
      <c r="E32" s="157">
        <v>2.875</v>
      </c>
      <c r="F32" s="157">
        <v>2.875</v>
      </c>
      <c r="G32" s="157">
        <v>2.875</v>
      </c>
      <c r="H32" s="157">
        <v>2.875</v>
      </c>
      <c r="I32" s="157"/>
      <c r="J32" s="157"/>
      <c r="K32" s="291"/>
      <c r="L32" s="12"/>
      <c r="M32" s="12"/>
      <c r="N32" s="12"/>
      <c r="O32" s="12"/>
      <c r="P32" s="12"/>
      <c r="Q32" s="12"/>
      <c r="R32" s="12"/>
      <c r="S32" s="12"/>
      <c r="T32" s="12"/>
      <c r="U32" s="12"/>
      <c r="V32" s="12"/>
    </row>
    <row r="33" spans="1:22" s="2" customFormat="1" x14ac:dyDescent="0.2">
      <c r="A33" s="31"/>
      <c r="B33" s="19" t="s">
        <v>14</v>
      </c>
      <c r="C33" s="149"/>
      <c r="D33" s="157">
        <v>29.359500000000001</v>
      </c>
      <c r="E33" s="157">
        <v>25.359500000000001</v>
      </c>
      <c r="F33" s="157">
        <v>19.759499999999999</v>
      </c>
      <c r="G33" s="157">
        <v>27.929500000000001</v>
      </c>
      <c r="H33" s="157">
        <v>22.459499999999998</v>
      </c>
      <c r="I33" s="157"/>
      <c r="J33" s="157"/>
      <c r="K33" s="291"/>
      <c r="L33" s="12"/>
      <c r="M33" s="12"/>
      <c r="N33" s="12"/>
      <c r="O33" s="12"/>
      <c r="P33" s="12"/>
      <c r="Q33" s="12"/>
      <c r="R33" s="12"/>
      <c r="S33" s="12"/>
      <c r="T33" s="12"/>
      <c r="U33" s="12"/>
      <c r="V33" s="12"/>
    </row>
    <row r="34" spans="1:22" s="2" customFormat="1" x14ac:dyDescent="0.2">
      <c r="A34" s="31"/>
      <c r="B34" s="19"/>
      <c r="C34" s="149"/>
      <c r="D34" s="157"/>
      <c r="E34" s="157"/>
      <c r="F34" s="157"/>
      <c r="G34" s="157"/>
      <c r="H34" s="157"/>
      <c r="I34" s="157"/>
      <c r="J34" s="157"/>
      <c r="K34" s="291"/>
      <c r="L34" s="12"/>
      <c r="M34" s="12"/>
      <c r="N34" s="12"/>
      <c r="O34" s="12"/>
      <c r="P34" s="12"/>
      <c r="Q34" s="12"/>
      <c r="R34" s="12"/>
      <c r="S34" s="12"/>
      <c r="T34" s="12"/>
      <c r="U34" s="12"/>
      <c r="V34" s="12"/>
    </row>
    <row r="35" spans="1:22" s="2" customFormat="1" x14ac:dyDescent="0.2">
      <c r="A35" s="31"/>
      <c r="B35" s="19" t="s">
        <v>134</v>
      </c>
      <c r="C35" s="149"/>
      <c r="D35" s="157"/>
      <c r="E35" s="157"/>
      <c r="F35" s="157"/>
      <c r="G35" s="157"/>
      <c r="H35" s="157"/>
      <c r="I35" s="157">
        <f>14-I36</f>
        <v>14</v>
      </c>
      <c r="J35" s="157">
        <f>22.4-J36</f>
        <v>18.119999999999997</v>
      </c>
      <c r="K35" s="291">
        <f t="shared" ref="K35:O35" si="12">(+J81-107.5)*(0.0925/4)</f>
        <v>17.889500000000002</v>
      </c>
      <c r="L35" s="12">
        <f t="shared" si="12"/>
        <v>17.6975625</v>
      </c>
      <c r="M35" s="12">
        <f t="shared" si="12"/>
        <v>14.938750000000002</v>
      </c>
      <c r="N35" s="12">
        <f t="shared" si="12"/>
        <v>14.938750000000002</v>
      </c>
      <c r="O35" s="12">
        <f t="shared" si="12"/>
        <v>13.359809817578126</v>
      </c>
      <c r="P35" s="12">
        <f>500*0.07/4</f>
        <v>8.75</v>
      </c>
      <c r="Q35" s="12">
        <f>P35*4</f>
        <v>35</v>
      </c>
      <c r="R35" s="12">
        <f>Q35</f>
        <v>35</v>
      </c>
      <c r="S35" s="12">
        <f>R35</f>
        <v>35</v>
      </c>
      <c r="T35" s="12">
        <f>S35</f>
        <v>35</v>
      </c>
      <c r="U35" s="12"/>
      <c r="V35" s="12"/>
    </row>
    <row r="36" spans="1:22" s="2" customFormat="1" x14ac:dyDescent="0.2">
      <c r="A36" s="31"/>
      <c r="B36" s="19" t="s">
        <v>135</v>
      </c>
      <c r="C36" s="149"/>
      <c r="D36" s="157"/>
      <c r="E36" s="157"/>
      <c r="F36" s="157"/>
      <c r="G36" s="157"/>
      <c r="H36" s="157"/>
      <c r="I36" s="157"/>
      <c r="J36" s="157">
        <f>107*0.04</f>
        <v>4.28</v>
      </c>
      <c r="K36" s="291"/>
      <c r="L36" s="12">
        <f>107*0.04</f>
        <v>4.28</v>
      </c>
      <c r="M36" s="12"/>
      <c r="N36" s="12">
        <f>107*0.04</f>
        <v>4.28</v>
      </c>
      <c r="O36" s="12"/>
      <c r="P36" s="12">
        <v>0</v>
      </c>
      <c r="Q36" s="12">
        <v>0</v>
      </c>
      <c r="R36" s="12">
        <v>0</v>
      </c>
      <c r="S36" s="12">
        <v>0</v>
      </c>
      <c r="T36" s="12">
        <v>0</v>
      </c>
      <c r="U36" s="12">
        <v>0</v>
      </c>
      <c r="V36" s="12">
        <v>0</v>
      </c>
    </row>
    <row r="37" spans="1:22" s="2" customFormat="1" x14ac:dyDescent="0.2">
      <c r="A37" s="31"/>
      <c r="B37" s="19"/>
      <c r="C37" s="149"/>
      <c r="D37" s="157"/>
      <c r="E37" s="157"/>
      <c r="F37" s="157"/>
      <c r="G37" s="157"/>
      <c r="H37" s="157"/>
      <c r="I37" s="157"/>
      <c r="J37" s="157"/>
      <c r="K37" s="291"/>
      <c r="L37" s="12"/>
      <c r="M37" s="12"/>
      <c r="N37" s="12"/>
      <c r="O37" s="12"/>
      <c r="P37" s="12"/>
      <c r="Q37" s="12"/>
      <c r="R37" s="12"/>
      <c r="S37" s="12"/>
      <c r="T37" s="12"/>
      <c r="U37" s="12"/>
      <c r="V37" s="12"/>
    </row>
    <row r="38" spans="1:22" s="2" customFormat="1" x14ac:dyDescent="0.2">
      <c r="A38" s="31" t="s">
        <v>119</v>
      </c>
      <c r="B38" s="19" t="s">
        <v>115</v>
      </c>
      <c r="C38" s="149"/>
      <c r="D38" s="157"/>
      <c r="E38" s="157">
        <v>1.9</v>
      </c>
      <c r="F38" s="157">
        <f>7.4-E38</f>
        <v>5.5</v>
      </c>
      <c r="G38" s="157"/>
      <c r="H38" s="157">
        <v>17.899999999999999</v>
      </c>
      <c r="I38" s="157">
        <f>5.6+0.15</f>
        <v>5.75</v>
      </c>
      <c r="J38" s="157">
        <v>0</v>
      </c>
      <c r="K38" s="291"/>
      <c r="L38" s="12"/>
      <c r="M38" s="12"/>
      <c r="N38" s="12"/>
      <c r="O38" s="12"/>
      <c r="P38" s="12"/>
      <c r="Q38" s="12"/>
      <c r="R38" s="12"/>
      <c r="S38" s="12"/>
      <c r="T38" s="12"/>
      <c r="U38" s="12"/>
      <c r="V38" s="12"/>
    </row>
    <row r="39" spans="1:22" s="2" customFormat="1" x14ac:dyDescent="0.2">
      <c r="A39" s="31"/>
      <c r="B39" s="25"/>
      <c r="C39" s="149"/>
      <c r="D39" s="157"/>
      <c r="E39" s="157"/>
      <c r="F39" s="157"/>
      <c r="G39" s="157"/>
      <c r="H39" s="157"/>
      <c r="I39" s="157"/>
      <c r="J39" s="157"/>
      <c r="K39" s="291"/>
      <c r="L39" s="12"/>
      <c r="M39" s="12"/>
      <c r="N39" s="12"/>
      <c r="O39" s="12"/>
      <c r="P39" s="12"/>
      <c r="Q39" s="12"/>
      <c r="R39" s="12"/>
      <c r="S39" s="12"/>
      <c r="T39" s="12"/>
      <c r="U39" s="12"/>
      <c r="V39" s="12"/>
    </row>
    <row r="40" spans="1:22" s="2" customFormat="1" x14ac:dyDescent="0.2">
      <c r="A40" s="31"/>
      <c r="B40" s="25" t="s">
        <v>117</v>
      </c>
      <c r="C40" s="149"/>
      <c r="D40" s="157">
        <v>27.3</v>
      </c>
      <c r="E40" s="192">
        <v>29.8</v>
      </c>
      <c r="F40" s="157">
        <v>31.7</v>
      </c>
      <c r="G40" s="157">
        <v>5.6</v>
      </c>
      <c r="H40" s="157">
        <f>63.5-(E40+F40+G40)</f>
        <v>-3.5999999999999943</v>
      </c>
      <c r="I40" s="157">
        <v>16</v>
      </c>
      <c r="J40" s="157">
        <f>21.3-I40</f>
        <v>5.3000000000000007</v>
      </c>
      <c r="K40" s="291">
        <f>19.84-21.3</f>
        <v>-1.4600000000000009</v>
      </c>
      <c r="L40" s="12">
        <f>+K40</f>
        <v>-1.4600000000000009</v>
      </c>
      <c r="M40" s="12">
        <v>25</v>
      </c>
      <c r="N40" s="12">
        <v>25</v>
      </c>
      <c r="O40" s="12">
        <v>25</v>
      </c>
      <c r="P40" s="12">
        <v>25</v>
      </c>
      <c r="Q40" s="12">
        <f t="shared" ref="Q40:V40" si="13">(Q23-Q35-Q36)*0.26</f>
        <v>85.371718907733026</v>
      </c>
      <c r="R40" s="12">
        <f t="shared" si="13"/>
        <v>86.180876454269935</v>
      </c>
      <c r="S40" s="12">
        <f t="shared" si="13"/>
        <v>91.819781068178372</v>
      </c>
      <c r="T40" s="12">
        <f t="shared" si="13"/>
        <v>99.981084077180526</v>
      </c>
      <c r="U40" s="12">
        <f t="shared" si="13"/>
        <v>120.47237348101007</v>
      </c>
      <c r="V40" s="12">
        <f t="shared" si="13"/>
        <v>141.27913646246446</v>
      </c>
    </row>
    <row r="41" spans="1:22" s="2" customFormat="1" x14ac:dyDescent="0.2">
      <c r="A41" s="31"/>
      <c r="C41" s="149"/>
      <c r="D41" s="157"/>
      <c r="E41" s="157"/>
      <c r="F41" s="157"/>
      <c r="G41" s="157"/>
      <c r="H41" s="157"/>
      <c r="I41" s="157"/>
      <c r="J41" s="157"/>
      <c r="K41" s="291"/>
      <c r="L41" s="12"/>
      <c r="M41" s="12"/>
      <c r="N41" s="12"/>
      <c r="O41" s="12"/>
      <c r="P41" s="12"/>
      <c r="Q41" s="12"/>
      <c r="R41" s="12"/>
      <c r="S41" s="12"/>
      <c r="T41" s="12"/>
      <c r="U41" s="12"/>
      <c r="V41" s="12"/>
    </row>
    <row r="42" spans="1:22" s="2" customFormat="1" x14ac:dyDescent="0.2">
      <c r="A42" s="31"/>
      <c r="B42" s="25" t="s">
        <v>71</v>
      </c>
      <c r="C42" s="149"/>
      <c r="D42" s="157">
        <v>14.7</v>
      </c>
      <c r="E42" s="157">
        <v>8.1999999999999993</v>
      </c>
      <c r="F42" s="157">
        <f>16.9-E42</f>
        <v>8.6999999999999993</v>
      </c>
      <c r="G42" s="157">
        <f>-SUM(E42:F42)+24.8</f>
        <v>7.9000000000000021</v>
      </c>
      <c r="H42" s="157">
        <v>15.4</v>
      </c>
      <c r="I42" s="157">
        <v>18.7</v>
      </c>
      <c r="J42" s="157">
        <f>40.3-I42</f>
        <v>21.599999999999998</v>
      </c>
      <c r="K42" s="291">
        <f>55.3-40.3</f>
        <v>15</v>
      </c>
      <c r="L42" s="12">
        <f>+K42</f>
        <v>15</v>
      </c>
      <c r="M42" s="12">
        <f>+L42</f>
        <v>15</v>
      </c>
      <c r="N42" s="12">
        <f>+M42</f>
        <v>15</v>
      </c>
      <c r="O42" s="12">
        <f>+N42</f>
        <v>15</v>
      </c>
      <c r="P42" s="12">
        <f>+O42</f>
        <v>15</v>
      </c>
      <c r="Q42" s="12">
        <f>+P42*4</f>
        <v>60</v>
      </c>
      <c r="R42" s="12">
        <f>+Q42</f>
        <v>60</v>
      </c>
      <c r="S42" s="12">
        <f>+R42</f>
        <v>60</v>
      </c>
      <c r="T42" s="12">
        <f>+S42</f>
        <v>60</v>
      </c>
      <c r="U42" s="12">
        <f>+T42</f>
        <v>60</v>
      </c>
      <c r="V42" s="12">
        <f>+U42</f>
        <v>60</v>
      </c>
    </row>
    <row r="43" spans="1:22" s="2" customFormat="1" x14ac:dyDescent="0.2">
      <c r="A43" s="31" t="s">
        <v>119</v>
      </c>
      <c r="B43" s="25" t="s">
        <v>116</v>
      </c>
      <c r="C43" s="149"/>
      <c r="D43" s="157">
        <v>0</v>
      </c>
      <c r="E43" s="157">
        <v>13.036</v>
      </c>
      <c r="F43" s="157">
        <v>0</v>
      </c>
      <c r="G43" s="157">
        <v>3.6</v>
      </c>
      <c r="H43" s="157">
        <f>14.526-E43-F43-G43</f>
        <v>-2.11</v>
      </c>
      <c r="I43" s="157">
        <v>1.8</v>
      </c>
      <c r="J43" s="157">
        <f>3.3-I43</f>
        <v>1.4999999999999998</v>
      </c>
      <c r="K43" s="291">
        <f>4.6-3.3</f>
        <v>1.2999999999999998</v>
      </c>
      <c r="L43" s="12">
        <v>0</v>
      </c>
      <c r="M43" s="27">
        <v>13</v>
      </c>
      <c r="N43" s="12">
        <v>0</v>
      </c>
      <c r="O43" s="12">
        <v>0</v>
      </c>
      <c r="P43" s="12">
        <v>0</v>
      </c>
      <c r="Q43" s="27">
        <v>13</v>
      </c>
      <c r="R43" s="27">
        <v>13</v>
      </c>
      <c r="S43" s="12">
        <v>0</v>
      </c>
      <c r="T43" s="12">
        <v>0</v>
      </c>
      <c r="U43" s="12">
        <v>0</v>
      </c>
      <c r="V43" s="12">
        <v>0</v>
      </c>
    </row>
    <row r="44" spans="1:22" s="2" customFormat="1" x14ac:dyDescent="0.2">
      <c r="A44" s="31" t="s">
        <v>119</v>
      </c>
      <c r="B44" s="25" t="s">
        <v>118</v>
      </c>
      <c r="C44" s="149"/>
      <c r="D44" s="157"/>
      <c r="E44" s="157">
        <f>42.736+(315.3-310.1)</f>
        <v>47.935999999999986</v>
      </c>
      <c r="F44" s="157">
        <f>30.4-E44-0.7</f>
        <v>-18.235999999999986</v>
      </c>
      <c r="G44" s="157">
        <f>-SUM(E44:F44)+43.577</f>
        <v>13.876999999999999</v>
      </c>
      <c r="H44" s="157">
        <f>14.529-E44-F44-G44</f>
        <v>-29.047999999999995</v>
      </c>
      <c r="I44" s="157">
        <v>-12.2</v>
      </c>
      <c r="J44" s="157">
        <f>-24-I44</f>
        <v>-11.8</v>
      </c>
      <c r="K44" s="291">
        <f>-22.9+24</f>
        <v>1.1000000000000014</v>
      </c>
      <c r="L44" s="12"/>
      <c r="M44" s="12"/>
      <c r="N44" s="12"/>
      <c r="O44" s="12"/>
      <c r="P44" s="12"/>
      <c r="Q44" s="12"/>
      <c r="R44" s="12"/>
      <c r="S44" s="12"/>
      <c r="T44" s="12"/>
      <c r="U44" s="12"/>
      <c r="V44" s="12"/>
    </row>
    <row r="45" spans="1:22" s="2" customFormat="1" x14ac:dyDescent="0.2">
      <c r="A45" s="31"/>
      <c r="B45" s="25"/>
      <c r="C45" s="149"/>
      <c r="D45" s="157"/>
      <c r="E45" s="157"/>
      <c r="F45" s="157"/>
      <c r="G45" s="157"/>
      <c r="H45" s="157"/>
      <c r="I45" s="157"/>
      <c r="J45" s="157"/>
      <c r="K45" s="291"/>
      <c r="L45" s="12"/>
      <c r="M45" s="12"/>
      <c r="N45" s="12"/>
      <c r="O45" s="12"/>
      <c r="P45" s="12"/>
      <c r="Q45" s="12"/>
      <c r="R45" s="12"/>
      <c r="S45" s="12"/>
      <c r="T45" s="12"/>
      <c r="U45" s="12"/>
      <c r="V45" s="12"/>
    </row>
    <row r="46" spans="1:22" s="2" customFormat="1" x14ac:dyDescent="0.2">
      <c r="A46" s="31"/>
      <c r="B46" s="25"/>
      <c r="C46" s="149"/>
      <c r="D46" s="157"/>
      <c r="E46" s="157"/>
      <c r="F46" s="157"/>
      <c r="G46" s="157"/>
      <c r="H46" s="157"/>
      <c r="I46" s="157"/>
      <c r="J46" s="157"/>
      <c r="K46" s="291"/>
      <c r="L46" s="12"/>
      <c r="M46" s="12"/>
      <c r="N46" s="12"/>
      <c r="O46" s="12"/>
      <c r="P46" s="12"/>
      <c r="Q46" s="12"/>
      <c r="R46" s="12"/>
      <c r="S46" s="12"/>
      <c r="T46" s="12"/>
      <c r="U46" s="12"/>
      <c r="V46" s="12"/>
    </row>
    <row r="47" spans="1:22" s="2" customFormat="1" x14ac:dyDescent="0.2">
      <c r="A47" s="31"/>
      <c r="B47" s="25" t="s">
        <v>132</v>
      </c>
      <c r="C47" s="149"/>
      <c r="D47" s="157"/>
      <c r="E47" s="157"/>
      <c r="F47" s="157"/>
      <c r="G47" s="157">
        <v>26.8</v>
      </c>
      <c r="H47" s="157">
        <v>-21.2</v>
      </c>
      <c r="I47" s="157">
        <v>6.2</v>
      </c>
      <c r="J47" s="157">
        <v>0</v>
      </c>
      <c r="K47" s="291"/>
      <c r="L47" s="12"/>
      <c r="M47" s="12"/>
      <c r="N47" s="12"/>
      <c r="O47" s="12"/>
      <c r="P47" s="12"/>
      <c r="Q47" s="12"/>
      <c r="R47" s="12"/>
      <c r="S47" s="12"/>
      <c r="T47" s="12"/>
      <c r="U47" s="12"/>
      <c r="V47" s="12"/>
    </row>
    <row r="48" spans="1:22" s="2" customFormat="1" x14ac:dyDescent="0.2">
      <c r="A48" s="31"/>
      <c r="B48" s="25" t="s">
        <v>131</v>
      </c>
      <c r="C48" s="149"/>
      <c r="D48" s="157"/>
      <c r="E48" s="157"/>
      <c r="F48" s="157"/>
      <c r="G48" s="157">
        <v>16.305</v>
      </c>
      <c r="H48" s="157">
        <f>63-G48</f>
        <v>46.695</v>
      </c>
      <c r="I48" s="157">
        <v>4.2</v>
      </c>
      <c r="J48" s="157">
        <v>2.4</v>
      </c>
      <c r="K48" s="291">
        <v>0</v>
      </c>
      <c r="L48" s="12"/>
      <c r="M48" s="12"/>
      <c r="N48" s="12"/>
      <c r="O48" s="12"/>
      <c r="P48" s="12"/>
      <c r="Q48" s="12"/>
      <c r="R48" s="12"/>
      <c r="S48" s="12"/>
      <c r="T48" s="12"/>
      <c r="U48" s="12"/>
      <c r="V48" s="12"/>
    </row>
    <row r="49" spans="1:22" s="2" customFormat="1" x14ac:dyDescent="0.2">
      <c r="A49" s="31"/>
      <c r="B49" s="25" t="s">
        <v>174</v>
      </c>
      <c r="C49" s="149"/>
      <c r="D49" s="157"/>
      <c r="E49" s="157"/>
      <c r="F49" s="157"/>
      <c r="G49" s="157"/>
      <c r="H49" s="157"/>
      <c r="I49" s="157"/>
      <c r="J49" s="157">
        <v>2.4</v>
      </c>
      <c r="K49" s="291">
        <v>0</v>
      </c>
      <c r="L49" s="12"/>
      <c r="M49" s="12"/>
      <c r="N49" s="12"/>
      <c r="O49" s="12"/>
      <c r="P49" s="12"/>
      <c r="Q49" s="12"/>
      <c r="R49" s="12"/>
      <c r="S49" s="12"/>
      <c r="T49" s="12"/>
      <c r="U49" s="12"/>
      <c r="V49" s="12"/>
    </row>
    <row r="50" spans="1:22" s="2" customFormat="1" x14ac:dyDescent="0.2">
      <c r="A50" s="31"/>
      <c r="B50" s="25" t="s">
        <v>102</v>
      </c>
      <c r="C50" s="149"/>
      <c r="D50" s="157">
        <v>2.9</v>
      </c>
      <c r="E50" s="157">
        <v>0</v>
      </c>
      <c r="F50" s="157"/>
      <c r="G50" s="157"/>
      <c r="H50" s="157"/>
      <c r="I50" s="157"/>
      <c r="J50" s="157"/>
      <c r="K50" s="291"/>
      <c r="L50" s="12"/>
      <c r="M50" s="12"/>
      <c r="N50" s="12"/>
      <c r="O50" s="12"/>
      <c r="P50" s="12"/>
      <c r="Q50" s="12"/>
      <c r="R50" s="12"/>
      <c r="S50" s="12"/>
      <c r="T50" s="12"/>
      <c r="U50" s="12"/>
      <c r="V50" s="12"/>
    </row>
    <row r="51" spans="1:22" s="2" customFormat="1" x14ac:dyDescent="0.2">
      <c r="A51" s="31"/>
      <c r="B51" s="2" t="s">
        <v>103</v>
      </c>
      <c r="C51" s="149"/>
      <c r="D51" s="157">
        <v>0.5</v>
      </c>
      <c r="E51" s="157"/>
      <c r="F51" s="157"/>
      <c r="G51" s="157">
        <v>-1.6</v>
      </c>
      <c r="H51" s="157"/>
      <c r="I51" s="38">
        <v>3.2</v>
      </c>
      <c r="J51" s="157">
        <f>6-2.4</f>
        <v>3.6</v>
      </c>
      <c r="K51" s="291">
        <v>4.5</v>
      </c>
      <c r="L51" s="12"/>
      <c r="M51" s="12"/>
      <c r="N51" s="12"/>
      <c r="O51" s="12"/>
      <c r="P51" s="12"/>
      <c r="Q51" s="12"/>
      <c r="R51" s="12"/>
      <c r="S51" s="12"/>
      <c r="T51" s="12"/>
      <c r="U51" s="12"/>
      <c r="V51" s="12"/>
    </row>
    <row r="52" spans="1:22" s="2" customFormat="1" x14ac:dyDescent="0.2">
      <c r="A52" s="31"/>
      <c r="B52" s="25" t="s">
        <v>19</v>
      </c>
      <c r="C52" s="150" t="s">
        <v>107</v>
      </c>
      <c r="D52" s="157">
        <v>10</v>
      </c>
      <c r="E52" s="157">
        <v>0</v>
      </c>
      <c r="F52" s="157">
        <v>0</v>
      </c>
      <c r="G52" s="157">
        <f t="shared" ref="G52:P52" si="14">+F52</f>
        <v>0</v>
      </c>
      <c r="H52" s="157">
        <f t="shared" si="14"/>
        <v>0</v>
      </c>
      <c r="I52" s="157">
        <f t="shared" si="14"/>
        <v>0</v>
      </c>
      <c r="J52" s="157">
        <f t="shared" si="14"/>
        <v>0</v>
      </c>
      <c r="K52" s="291">
        <f t="shared" si="14"/>
        <v>0</v>
      </c>
      <c r="L52" s="12">
        <f t="shared" si="14"/>
        <v>0</v>
      </c>
      <c r="M52" s="12">
        <f t="shared" si="14"/>
        <v>0</v>
      </c>
      <c r="N52" s="12">
        <f t="shared" si="14"/>
        <v>0</v>
      </c>
      <c r="O52" s="12">
        <f t="shared" si="14"/>
        <v>0</v>
      </c>
      <c r="P52" s="12">
        <f t="shared" si="14"/>
        <v>0</v>
      </c>
      <c r="Q52" s="12">
        <f>+P52*4</f>
        <v>0</v>
      </c>
      <c r="R52" s="12">
        <f>+Q52</f>
        <v>0</v>
      </c>
      <c r="S52" s="12">
        <f>+R52</f>
        <v>0</v>
      </c>
      <c r="T52" s="12">
        <f>+S52</f>
        <v>0</v>
      </c>
      <c r="U52" s="12">
        <f>+T52</f>
        <v>0</v>
      </c>
      <c r="V52" s="12">
        <f>+U52</f>
        <v>0</v>
      </c>
    </row>
    <row r="53" spans="1:22" s="2" customFormat="1" x14ac:dyDescent="0.2">
      <c r="A53" s="31"/>
      <c r="C53" s="150"/>
      <c r="D53" s="13"/>
      <c r="E53" s="13"/>
      <c r="F53" s="13"/>
      <c r="G53" s="13"/>
      <c r="H53" s="13"/>
      <c r="I53" s="13"/>
      <c r="J53" s="13"/>
      <c r="K53" s="296"/>
      <c r="L53" s="13"/>
      <c r="M53" s="13"/>
      <c r="N53" s="13"/>
      <c r="O53" s="13"/>
      <c r="P53" s="13"/>
      <c r="Q53" s="13"/>
      <c r="R53" s="13"/>
      <c r="S53" s="13"/>
      <c r="T53" s="13"/>
      <c r="U53" s="13"/>
      <c r="V53" s="13"/>
    </row>
    <row r="54" spans="1:22" s="26" customFormat="1" x14ac:dyDescent="0.2">
      <c r="A54" s="32" t="s">
        <v>40</v>
      </c>
      <c r="B54" s="25" t="s">
        <v>21</v>
      </c>
      <c r="C54" s="151"/>
      <c r="D54" s="38">
        <f>SUM(D28:D53)</f>
        <v>90.959500000000006</v>
      </c>
      <c r="E54" s="38">
        <f>SUM(E28:E53)</f>
        <v>133.80549999999999</v>
      </c>
      <c r="F54" s="38">
        <f t="shared" ref="F54:R54" si="15">SUM(F28:F53)</f>
        <v>54.710000000000008</v>
      </c>
      <c r="G54" s="38">
        <f t="shared" si="15"/>
        <v>107.41050000000001</v>
      </c>
      <c r="H54" s="38">
        <f t="shared" si="15"/>
        <v>53.208000000000013</v>
      </c>
      <c r="I54" s="38">
        <f t="shared" si="15"/>
        <v>57.650000000000006</v>
      </c>
      <c r="J54" s="38">
        <f t="shared" si="15"/>
        <v>47.4</v>
      </c>
      <c r="K54" s="295">
        <f t="shared" si="15"/>
        <v>38.329500000000003</v>
      </c>
      <c r="L54" s="27">
        <f t="shared" si="15"/>
        <v>35.517562499999997</v>
      </c>
      <c r="M54" s="27">
        <f t="shared" si="15"/>
        <v>67.938749999999999</v>
      </c>
      <c r="N54" s="27">
        <f t="shared" si="15"/>
        <v>59.21875</v>
      </c>
      <c r="O54" s="27">
        <f t="shared" si="15"/>
        <v>53.359809817578125</v>
      </c>
      <c r="P54" s="27">
        <f t="shared" si="15"/>
        <v>48.75</v>
      </c>
      <c r="Q54" s="27">
        <f t="shared" si="15"/>
        <v>193.37171890773303</v>
      </c>
      <c r="R54" s="27">
        <f t="shared" si="15"/>
        <v>194.18087645426994</v>
      </c>
      <c r="S54" s="27">
        <f>SUM(S28:S53)</f>
        <v>186.81978106817837</v>
      </c>
      <c r="T54" s="27">
        <f>SUM(T28:T53)</f>
        <v>194.98108407718053</v>
      </c>
      <c r="U54" s="27">
        <f>SUM(U28:U53)</f>
        <v>180.47237348101007</v>
      </c>
      <c r="V54" s="27">
        <f>SUM(V28:V53)</f>
        <v>201.27913646246446</v>
      </c>
    </row>
    <row r="55" spans="1:22" s="26" customFormat="1" x14ac:dyDescent="0.2">
      <c r="A55" s="32"/>
      <c r="B55" s="25"/>
      <c r="C55" s="151"/>
      <c r="D55" s="38"/>
      <c r="E55" s="38"/>
      <c r="F55" s="38"/>
      <c r="G55" s="38"/>
      <c r="H55" s="38"/>
      <c r="I55" s="38"/>
      <c r="J55" s="38"/>
      <c r="K55" s="295"/>
      <c r="L55" s="27"/>
      <c r="M55" s="27"/>
      <c r="N55" s="27"/>
      <c r="O55" s="27"/>
      <c r="P55" s="27"/>
      <c r="Q55" s="27"/>
      <c r="R55" s="27"/>
      <c r="S55" s="27"/>
      <c r="T55" s="27"/>
      <c r="U55" s="27"/>
      <c r="V55" s="27"/>
    </row>
    <row r="56" spans="1:22" s="26" customFormat="1" x14ac:dyDescent="0.2">
      <c r="A56" s="32"/>
      <c r="B56" s="3" t="s">
        <v>35</v>
      </c>
      <c r="C56" s="145"/>
      <c r="D56" s="157">
        <v>52</v>
      </c>
      <c r="E56" s="38"/>
      <c r="F56" s="38"/>
      <c r="G56" s="38"/>
      <c r="H56" s="38">
        <v>-275</v>
      </c>
      <c r="I56" s="38"/>
      <c r="J56" s="38"/>
      <c r="K56" s="295"/>
      <c r="L56" s="27"/>
      <c r="M56" s="27"/>
      <c r="N56" s="27"/>
      <c r="O56" s="27"/>
      <c r="P56" s="27"/>
      <c r="Q56" s="27"/>
      <c r="R56" s="27"/>
      <c r="S56" s="27"/>
      <c r="T56" s="27"/>
      <c r="U56" s="27"/>
      <c r="V56" s="27"/>
    </row>
    <row r="57" spans="1:22" s="2" customFormat="1" x14ac:dyDescent="0.2">
      <c r="A57" s="31"/>
      <c r="B57" s="3" t="s">
        <v>54</v>
      </c>
      <c r="C57" s="145"/>
      <c r="D57" s="157">
        <v>72</v>
      </c>
      <c r="E57" s="157"/>
      <c r="F57" s="13"/>
      <c r="G57" s="157"/>
      <c r="H57" s="13"/>
      <c r="I57" s="157"/>
      <c r="J57" s="157"/>
      <c r="K57" s="296"/>
      <c r="L57" s="13"/>
      <c r="M57" s="13"/>
      <c r="N57" s="13"/>
      <c r="O57" s="13"/>
      <c r="P57" s="13"/>
      <c r="Q57" s="13"/>
      <c r="R57" s="13"/>
      <c r="S57" s="13"/>
      <c r="T57" s="13"/>
      <c r="U57" s="13"/>
      <c r="V57" s="13"/>
    </row>
    <row r="58" spans="1:22" s="26" customFormat="1" ht="13.5" thickBot="1" x14ac:dyDescent="0.25">
      <c r="A58" s="32" t="s">
        <v>41</v>
      </c>
      <c r="B58" s="25" t="s">
        <v>43</v>
      </c>
      <c r="C58" s="152" t="s">
        <v>44</v>
      </c>
      <c r="D58" s="33">
        <f>+D23-D54+D57+D56</f>
        <v>180.15050000000002</v>
      </c>
      <c r="E58" s="142">
        <f>+E23-E54</f>
        <v>12.194500000000005</v>
      </c>
      <c r="F58" s="142">
        <f>+F23-F54</f>
        <v>90.489999999999981</v>
      </c>
      <c r="G58" s="142">
        <f>+G23-G54</f>
        <v>30.389499999999998</v>
      </c>
      <c r="H58" s="142">
        <f>SUM(H54:H57)</f>
        <v>-221.79199999999997</v>
      </c>
      <c r="I58" s="246">
        <f t="shared" ref="I58:V58" si="16">+I23-I54</f>
        <v>57.849999999999994</v>
      </c>
      <c r="J58" s="246">
        <f t="shared" si="16"/>
        <v>59.812000000000005</v>
      </c>
      <c r="K58" s="351">
        <f t="shared" si="16"/>
        <v>63.721300000000006</v>
      </c>
      <c r="L58" s="246">
        <f t="shared" si="16"/>
        <v>62.831437500000007</v>
      </c>
      <c r="M58" s="252">
        <f t="shared" si="16"/>
        <v>28.206554999999994</v>
      </c>
      <c r="N58" s="252">
        <f t="shared" si="16"/>
        <v>34.94751282499999</v>
      </c>
      <c r="O58" s="252">
        <f t="shared" si="16"/>
        <v>39.04089526604686</v>
      </c>
      <c r="P58" s="252">
        <f t="shared" si="16"/>
        <v>42.088191257435597</v>
      </c>
      <c r="Q58" s="277">
        <f t="shared" si="16"/>
        <v>169.98104612200936</v>
      </c>
      <c r="R58" s="142">
        <f t="shared" si="16"/>
        <v>172.28403298522983</v>
      </c>
      <c r="S58" s="277">
        <f t="shared" si="16"/>
        <v>201.33322304019998</v>
      </c>
      <c r="T58" s="142">
        <f t="shared" si="16"/>
        <v>224.56154698889839</v>
      </c>
      <c r="U58" s="277">
        <f t="shared" si="16"/>
        <v>282.88290913825938</v>
      </c>
      <c r="V58" s="142">
        <f t="shared" si="16"/>
        <v>342.10215762393733</v>
      </c>
    </row>
    <row r="59" spans="1:22" s="26" customFormat="1" ht="13.5" thickTop="1" x14ac:dyDescent="0.2">
      <c r="A59" s="32"/>
      <c r="B59" s="25"/>
      <c r="C59" s="152"/>
      <c r="D59" s="38"/>
      <c r="E59" s="38"/>
      <c r="F59" s="38"/>
      <c r="G59" s="38"/>
      <c r="H59" s="38"/>
      <c r="I59" s="38"/>
      <c r="J59" s="38"/>
      <c r="K59" s="295"/>
      <c r="L59" s="38"/>
      <c r="M59" s="38"/>
      <c r="N59" s="38"/>
      <c r="O59" s="38"/>
      <c r="P59" s="38"/>
      <c r="Q59" s="38"/>
      <c r="R59" s="38"/>
      <c r="S59" s="38"/>
      <c r="T59" s="38"/>
      <c r="U59" s="38"/>
      <c r="V59" s="38"/>
    </row>
    <row r="60" spans="1:22" s="26" customFormat="1" x14ac:dyDescent="0.2">
      <c r="A60" s="32"/>
      <c r="B60" s="25" t="s">
        <v>136</v>
      </c>
      <c r="C60" s="152"/>
      <c r="D60" s="38"/>
      <c r="E60" s="38"/>
      <c r="F60" s="38"/>
      <c r="G60" s="38"/>
      <c r="H60" s="38">
        <f>-974.2-25</f>
        <v>-999.2</v>
      </c>
      <c r="I60" s="38"/>
      <c r="J60" s="38"/>
      <c r="K60" s="295"/>
      <c r="L60" s="38"/>
      <c r="M60" s="38"/>
      <c r="N60" s="38"/>
      <c r="O60" s="38"/>
      <c r="P60" s="38"/>
      <c r="Q60" s="38"/>
      <c r="R60" s="38"/>
      <c r="S60" s="38"/>
      <c r="T60" s="38"/>
      <c r="U60" s="38"/>
      <c r="V60" s="38"/>
    </row>
    <row r="61" spans="1:22" s="26" customFormat="1" x14ac:dyDescent="0.2">
      <c r="A61" s="32"/>
      <c r="B61" s="25"/>
      <c r="C61" s="152"/>
      <c r="D61" s="38"/>
      <c r="E61" s="38"/>
      <c r="F61" s="38"/>
      <c r="G61" s="38"/>
      <c r="H61" s="38"/>
      <c r="I61" s="38"/>
      <c r="J61" s="38"/>
      <c r="K61" s="295"/>
      <c r="L61" s="38"/>
      <c r="M61" s="38"/>
      <c r="N61" s="38"/>
      <c r="O61" s="38"/>
      <c r="P61" s="38"/>
      <c r="Q61" s="38"/>
      <c r="R61" s="38"/>
      <c r="S61" s="38"/>
      <c r="T61" s="38"/>
      <c r="U61" s="38"/>
      <c r="V61" s="38"/>
    </row>
    <row r="62" spans="1:22" s="26" customFormat="1" x14ac:dyDescent="0.2">
      <c r="A62" s="32"/>
      <c r="B62" s="25"/>
      <c r="C62" s="152"/>
      <c r="D62" s="38"/>
      <c r="E62" s="38"/>
      <c r="F62" s="38"/>
      <c r="G62" s="38"/>
      <c r="H62" s="38"/>
      <c r="I62" s="38"/>
      <c r="J62" s="38"/>
      <c r="K62" s="295"/>
      <c r="L62" s="38"/>
      <c r="M62" s="38"/>
      <c r="N62" s="38"/>
      <c r="O62" s="38"/>
      <c r="P62" s="38"/>
      <c r="Q62" s="38"/>
      <c r="R62" s="38"/>
      <c r="S62" s="38"/>
      <c r="T62" s="38"/>
      <c r="U62" s="38"/>
      <c r="V62" s="38"/>
    </row>
    <row r="63" spans="1:22" s="2" customFormat="1" x14ac:dyDescent="0.2">
      <c r="A63" s="31"/>
      <c r="B63" s="3"/>
      <c r="C63" s="145"/>
      <c r="D63" s="157"/>
      <c r="E63" s="157"/>
      <c r="F63" s="157"/>
      <c r="G63" s="157"/>
      <c r="H63" s="157"/>
      <c r="I63" s="157"/>
      <c r="J63" s="157"/>
      <c r="K63" s="291"/>
      <c r="L63" s="12"/>
      <c r="M63" s="12"/>
      <c r="N63" s="12"/>
      <c r="O63" s="12"/>
      <c r="P63" s="12"/>
      <c r="Q63" s="12"/>
      <c r="R63" s="12"/>
      <c r="S63" s="12"/>
      <c r="T63" s="12"/>
      <c r="U63" s="12"/>
      <c r="V63" s="12"/>
    </row>
    <row r="64" spans="1:22" x14ac:dyDescent="0.2">
      <c r="B64" s="54" t="s">
        <v>22</v>
      </c>
      <c r="C64" s="4"/>
      <c r="D64" s="158"/>
      <c r="E64" s="193"/>
      <c r="F64" s="193"/>
      <c r="G64" s="193"/>
      <c r="H64" s="193"/>
      <c r="I64" s="193"/>
      <c r="J64" s="193"/>
      <c r="K64" s="297"/>
      <c r="L64" s="14"/>
      <c r="M64" s="14"/>
      <c r="N64" s="14"/>
      <c r="O64" s="14"/>
      <c r="P64" s="14"/>
      <c r="Q64" s="14"/>
      <c r="R64" s="14"/>
      <c r="S64" s="14"/>
      <c r="T64" s="14"/>
      <c r="U64" s="14"/>
      <c r="V64" s="14"/>
    </row>
    <row r="65" spans="1:22" x14ac:dyDescent="0.2">
      <c r="A65" s="17" t="s">
        <v>42</v>
      </c>
      <c r="B65" s="1" t="s">
        <v>87</v>
      </c>
      <c r="C65" s="153">
        <v>250</v>
      </c>
      <c r="D65" s="158">
        <v>45</v>
      </c>
      <c r="E65" s="193">
        <v>25</v>
      </c>
      <c r="F65" s="193">
        <v>25</v>
      </c>
      <c r="G65" s="193">
        <v>25</v>
      </c>
      <c r="H65" s="193">
        <v>130</v>
      </c>
      <c r="I65" s="157"/>
      <c r="J65" s="193"/>
      <c r="K65" s="297"/>
      <c r="L65" s="14"/>
      <c r="M65" s="14"/>
      <c r="N65" s="14"/>
      <c r="O65" s="14"/>
      <c r="P65" s="14"/>
      <c r="Q65" s="14"/>
      <c r="R65" s="14"/>
      <c r="S65" s="14"/>
      <c r="T65" s="14"/>
      <c r="U65" s="14"/>
      <c r="V65" s="14"/>
    </row>
    <row r="66" spans="1:22" x14ac:dyDescent="0.2">
      <c r="A66" s="17" t="s">
        <v>42</v>
      </c>
      <c r="B66" s="1" t="s">
        <v>88</v>
      </c>
      <c r="C66" s="153">
        <v>16</v>
      </c>
      <c r="D66" s="158">
        <v>16</v>
      </c>
      <c r="E66" s="194">
        <v>-239</v>
      </c>
      <c r="F66" s="193"/>
      <c r="G66" s="193"/>
      <c r="H66" s="193">
        <v>239</v>
      </c>
      <c r="I66" s="157"/>
      <c r="J66" s="193"/>
      <c r="K66" s="297"/>
      <c r="L66" s="14"/>
      <c r="M66" s="14"/>
      <c r="N66" s="14"/>
      <c r="O66" s="14"/>
      <c r="P66" s="14"/>
      <c r="Q66" s="14"/>
      <c r="R66" s="14"/>
      <c r="S66" s="14"/>
      <c r="T66" s="14"/>
      <c r="U66" s="14"/>
      <c r="V66" s="14"/>
    </row>
    <row r="67" spans="1:22" x14ac:dyDescent="0.2">
      <c r="A67" s="17" t="s">
        <v>42</v>
      </c>
      <c r="B67" s="1" t="s">
        <v>25</v>
      </c>
      <c r="C67" s="153">
        <v>35</v>
      </c>
      <c r="D67" s="158">
        <v>35</v>
      </c>
      <c r="E67" s="193"/>
      <c r="F67" s="193"/>
      <c r="G67" s="193"/>
      <c r="H67" s="193"/>
      <c r="I67" s="193"/>
      <c r="J67" s="193"/>
      <c r="K67" s="297"/>
      <c r="L67" s="14"/>
      <c r="M67" s="14"/>
      <c r="N67" s="14"/>
      <c r="O67" s="14"/>
      <c r="P67" s="14"/>
      <c r="Q67" s="14"/>
      <c r="R67" s="14"/>
      <c r="S67" s="14"/>
      <c r="T67" s="14"/>
      <c r="U67" s="14"/>
      <c r="V67" s="14"/>
    </row>
    <row r="68" spans="1:22" x14ac:dyDescent="0.2">
      <c r="A68" s="17"/>
      <c r="B68" s="1" t="s">
        <v>114</v>
      </c>
      <c r="C68" s="153"/>
      <c r="D68" s="158"/>
      <c r="E68" s="193">
        <v>0.3</v>
      </c>
      <c r="F68" s="193"/>
      <c r="G68" s="193"/>
      <c r="H68" s="193"/>
      <c r="I68" s="193"/>
      <c r="J68" s="193"/>
      <c r="K68" s="297"/>
      <c r="L68" s="14"/>
      <c r="M68" s="14"/>
      <c r="N68" s="14"/>
      <c r="O68" s="14"/>
      <c r="P68" s="14"/>
      <c r="Q68" s="14"/>
      <c r="R68" s="14"/>
      <c r="S68" s="14"/>
      <c r="T68" s="14"/>
      <c r="U68" s="14"/>
      <c r="V68" s="14"/>
    </row>
    <row r="69" spans="1:22" ht="13.5" thickBot="1" x14ac:dyDescent="0.25">
      <c r="A69" s="17" t="s">
        <v>42</v>
      </c>
      <c r="B69" s="249" t="s">
        <v>34</v>
      </c>
      <c r="C69" s="154"/>
      <c r="D69" s="158"/>
      <c r="E69" s="193"/>
      <c r="F69" s="193"/>
      <c r="G69" s="193"/>
      <c r="H69" s="193">
        <v>184</v>
      </c>
      <c r="I69" s="193"/>
      <c r="J69" s="193"/>
      <c r="K69" s="297"/>
      <c r="L69" s="14"/>
      <c r="M69" s="14"/>
      <c r="N69" s="14"/>
      <c r="O69" s="14"/>
      <c r="P69" s="14"/>
      <c r="Q69" s="14"/>
      <c r="R69" s="14"/>
      <c r="S69" s="14"/>
      <c r="T69" s="14"/>
      <c r="U69" s="14"/>
      <c r="V69" s="14"/>
    </row>
    <row r="70" spans="1:22" ht="16.5" thickBot="1" x14ac:dyDescent="0.3">
      <c r="A70" s="17"/>
      <c r="B70" s="260" t="s">
        <v>137</v>
      </c>
      <c r="C70" s="154"/>
      <c r="D70" s="158"/>
      <c r="E70" s="193"/>
      <c r="F70" s="193"/>
      <c r="G70" s="193"/>
      <c r="H70" s="261">
        <v>-107.5</v>
      </c>
      <c r="I70" s="193"/>
      <c r="J70" s="193"/>
      <c r="K70" s="297"/>
      <c r="L70" s="14"/>
      <c r="M70" s="14"/>
      <c r="N70" s="14"/>
      <c r="O70" s="14"/>
      <c r="P70" s="14"/>
      <c r="Q70" s="14"/>
      <c r="R70" s="14"/>
      <c r="S70" s="14"/>
      <c r="T70" s="14"/>
      <c r="U70" s="14"/>
      <c r="V70" s="14"/>
    </row>
    <row r="71" spans="1:22" s="267" customFormat="1" ht="16.5" thickBot="1" x14ac:dyDescent="0.3">
      <c r="A71" s="228"/>
      <c r="B71" s="260" t="s">
        <v>138</v>
      </c>
      <c r="C71" s="262"/>
      <c r="D71" s="263"/>
      <c r="E71" s="264"/>
      <c r="F71" s="264"/>
      <c r="G71" s="264"/>
      <c r="H71" s="363">
        <v>-800</v>
      </c>
      <c r="I71" s="264"/>
      <c r="J71" s="264">
        <v>26.1</v>
      </c>
      <c r="K71" s="354">
        <v>8.3000000000000007</v>
      </c>
      <c r="L71" s="266">
        <f>27+92.3</f>
        <v>119.3</v>
      </c>
      <c r="M71" s="266"/>
      <c r="N71" s="266">
        <f>(+L58+M58)*0.75</f>
        <v>68.278494375000008</v>
      </c>
      <c r="O71" s="266"/>
      <c r="P71" s="266">
        <f>(+N58+O58)*0.75+135</f>
        <v>190.49130606828516</v>
      </c>
      <c r="Q71" s="266">
        <v>0</v>
      </c>
      <c r="R71" s="266">
        <v>0</v>
      </c>
      <c r="S71" s="266">
        <v>0</v>
      </c>
      <c r="T71" s="266">
        <v>0</v>
      </c>
      <c r="U71" s="266">
        <v>0</v>
      </c>
      <c r="V71" s="266">
        <v>0</v>
      </c>
    </row>
    <row r="72" spans="1:22" s="267" customFormat="1" ht="15.75" x14ac:dyDescent="0.25">
      <c r="A72" s="228"/>
      <c r="B72" s="260"/>
      <c r="C72" s="262"/>
      <c r="D72" s="263"/>
      <c r="E72" s="264"/>
      <c r="F72" s="264"/>
      <c r="G72" s="264"/>
      <c r="H72" s="361"/>
      <c r="I72" s="264"/>
      <c r="J72" s="264"/>
      <c r="K72" s="354"/>
      <c r="L72" s="266"/>
      <c r="M72" s="266"/>
      <c r="N72" s="266"/>
      <c r="O72" s="266"/>
      <c r="P72" s="266"/>
      <c r="Q72" s="266"/>
      <c r="R72" s="266"/>
      <c r="S72" s="266"/>
      <c r="T72" s="266"/>
      <c r="U72" s="266"/>
      <c r="V72" s="266"/>
    </row>
    <row r="73" spans="1:22" x14ac:dyDescent="0.2">
      <c r="A73" s="17" t="s">
        <v>42</v>
      </c>
      <c r="B73" s="19" t="s">
        <v>14</v>
      </c>
      <c r="C73" s="154">
        <v>1406</v>
      </c>
      <c r="D73" s="158"/>
      <c r="E73" s="193"/>
      <c r="F73" s="193"/>
      <c r="G73" s="193"/>
      <c r="H73" s="193">
        <v>1406</v>
      </c>
      <c r="I73" s="193"/>
      <c r="J73" s="193"/>
      <c r="K73" s="297"/>
      <c r="L73" s="14"/>
      <c r="M73" s="14"/>
      <c r="N73" s="14"/>
      <c r="O73" s="14"/>
      <c r="P73" s="14"/>
      <c r="Q73" s="14"/>
      <c r="R73" s="14"/>
      <c r="S73" s="14"/>
      <c r="T73" s="14"/>
      <c r="U73" s="14"/>
      <c r="V73" s="14"/>
    </row>
    <row r="74" spans="1:22" x14ac:dyDescent="0.2">
      <c r="A74" s="17"/>
      <c r="B74" s="7"/>
      <c r="C74" s="154"/>
      <c r="D74" s="158"/>
      <c r="E74" s="193"/>
      <c r="F74" s="193"/>
      <c r="G74" s="193"/>
      <c r="H74" s="193"/>
      <c r="I74" s="193"/>
      <c r="J74" s="193"/>
      <c r="K74" s="297"/>
      <c r="L74" s="14"/>
      <c r="M74" s="14"/>
      <c r="N74" s="14"/>
      <c r="O74" s="14"/>
      <c r="P74" s="14"/>
      <c r="Q74" s="14"/>
      <c r="R74" s="14"/>
      <c r="S74" s="14"/>
      <c r="T74" s="14"/>
      <c r="U74" s="14"/>
      <c r="V74" s="14"/>
    </row>
    <row r="75" spans="1:22" x14ac:dyDescent="0.2">
      <c r="B75" s="19" t="s">
        <v>69</v>
      </c>
      <c r="C75" s="35">
        <v>1707</v>
      </c>
      <c r="D75" s="158"/>
      <c r="E75" s="193"/>
      <c r="F75" s="193"/>
      <c r="G75" s="193"/>
      <c r="H75" s="193"/>
      <c r="I75" s="193"/>
      <c r="J75" s="193"/>
      <c r="K75" s="297"/>
      <c r="L75" s="14"/>
      <c r="M75" s="14"/>
      <c r="N75" s="14"/>
      <c r="O75" s="14"/>
      <c r="P75" s="14"/>
      <c r="Q75" s="14"/>
      <c r="R75" s="14"/>
      <c r="S75" s="14"/>
      <c r="T75" s="14"/>
      <c r="U75" s="14"/>
      <c r="V75" s="14"/>
    </row>
    <row r="76" spans="1:22" s="16" customFormat="1" ht="13.5" thickBot="1" x14ac:dyDescent="0.25">
      <c r="A76" s="17" t="s">
        <v>45</v>
      </c>
      <c r="B76" s="16" t="s">
        <v>53</v>
      </c>
      <c r="C76" s="155" t="s">
        <v>51</v>
      </c>
      <c r="D76" s="118">
        <f>-SUM(D63:D75)+D58</f>
        <v>84.150500000000022</v>
      </c>
      <c r="E76" s="244">
        <f>-SUM(E63:E75)+E58</f>
        <v>225.89449999999999</v>
      </c>
      <c r="F76" s="244">
        <f>-SUM(F63:F75)+F58</f>
        <v>65.489999999999981</v>
      </c>
      <c r="G76" s="244">
        <f>-SUM(G63:G75)+G58</f>
        <v>5.3894999999999982</v>
      </c>
      <c r="H76" s="244">
        <f>-SUM(H60:H75)+H58</f>
        <v>-274.09199999999993</v>
      </c>
      <c r="I76" s="248">
        <f t="shared" ref="I76:V76" si="17">-SUM(I63:I75)+I58</f>
        <v>57.849999999999994</v>
      </c>
      <c r="J76" s="248">
        <f t="shared" si="17"/>
        <v>33.712000000000003</v>
      </c>
      <c r="K76" s="352">
        <f t="shared" si="17"/>
        <v>55.421300000000002</v>
      </c>
      <c r="L76" s="248">
        <f t="shared" si="17"/>
        <v>-56.46856249999999</v>
      </c>
      <c r="M76" s="253">
        <f t="shared" si="17"/>
        <v>28.206554999999994</v>
      </c>
      <c r="N76" s="253">
        <f t="shared" si="17"/>
        <v>-33.330981550000018</v>
      </c>
      <c r="O76" s="253">
        <f t="shared" si="17"/>
        <v>39.04089526604686</v>
      </c>
      <c r="P76" s="253">
        <f t="shared" si="17"/>
        <v>-148.40311481084956</v>
      </c>
      <c r="Q76" s="278">
        <f t="shared" si="17"/>
        <v>169.98104612200936</v>
      </c>
      <c r="R76" s="244">
        <f t="shared" si="17"/>
        <v>172.28403298522983</v>
      </c>
      <c r="S76" s="278">
        <f t="shared" si="17"/>
        <v>201.33322304019998</v>
      </c>
      <c r="T76" s="244">
        <f t="shared" si="17"/>
        <v>224.56154698889839</v>
      </c>
      <c r="U76" s="278">
        <f t="shared" si="17"/>
        <v>282.88290913825938</v>
      </c>
      <c r="V76" s="244">
        <f t="shared" si="17"/>
        <v>342.10215762393733</v>
      </c>
    </row>
    <row r="77" spans="1:22" ht="14.25" thickTop="1" thickBot="1" x14ac:dyDescent="0.25">
      <c r="C77" s="4"/>
      <c r="D77" s="158"/>
      <c r="E77" s="193"/>
      <c r="F77" s="193"/>
      <c r="G77" s="193"/>
      <c r="H77" s="193"/>
      <c r="I77" s="193"/>
      <c r="J77" s="193"/>
      <c r="K77" s="297"/>
      <c r="L77" s="14"/>
      <c r="M77" s="14"/>
      <c r="N77" s="14"/>
      <c r="O77" s="14"/>
      <c r="P77" s="14"/>
      <c r="Q77" s="14"/>
      <c r="R77" s="14"/>
      <c r="S77" s="14"/>
      <c r="T77" s="14"/>
      <c r="U77" s="14"/>
      <c r="V77" s="14"/>
    </row>
    <row r="78" spans="1:22" s="176" customFormat="1" ht="13.5" thickBot="1" x14ac:dyDescent="0.25">
      <c r="A78" s="32" t="s">
        <v>52</v>
      </c>
      <c r="B78" s="176" t="s">
        <v>168</v>
      </c>
      <c r="C78" s="216"/>
      <c r="D78" s="215">
        <f>+D76</f>
        <v>84.150500000000022</v>
      </c>
      <c r="E78" s="215">
        <f>+D78+E76</f>
        <v>310.04500000000002</v>
      </c>
      <c r="F78" s="215">
        <f t="shared" ref="F78:R78" si="18">+E78+F76</f>
        <v>375.53499999999997</v>
      </c>
      <c r="G78" s="215">
        <f t="shared" si="18"/>
        <v>380.92449999999997</v>
      </c>
      <c r="H78" s="215">
        <f t="shared" si="18"/>
        <v>106.83250000000004</v>
      </c>
      <c r="I78" s="215">
        <f t="shared" si="18"/>
        <v>164.68250000000003</v>
      </c>
      <c r="J78" s="215">
        <f t="shared" si="18"/>
        <v>198.39450000000005</v>
      </c>
      <c r="K78" s="298">
        <f t="shared" si="18"/>
        <v>253.81580000000005</v>
      </c>
      <c r="L78" s="215">
        <f t="shared" si="18"/>
        <v>197.34723750000006</v>
      </c>
      <c r="M78" s="215">
        <f t="shared" si="18"/>
        <v>225.55379250000004</v>
      </c>
      <c r="N78" s="215">
        <f t="shared" si="18"/>
        <v>192.22281095000002</v>
      </c>
      <c r="O78" s="215">
        <f t="shared" si="18"/>
        <v>231.2637062160469</v>
      </c>
      <c r="P78" s="215">
        <f t="shared" si="18"/>
        <v>82.86059140519734</v>
      </c>
      <c r="Q78" s="215">
        <f t="shared" si="18"/>
        <v>252.8416375272067</v>
      </c>
      <c r="R78" s="247">
        <f t="shared" si="18"/>
        <v>425.1256705124365</v>
      </c>
      <c r="S78" s="215">
        <f>+R78+S76</f>
        <v>626.45889355263648</v>
      </c>
      <c r="T78" s="215">
        <f>+S78+T76</f>
        <v>851.02044054153487</v>
      </c>
      <c r="U78" s="215">
        <f>+T78+U76</f>
        <v>1133.9033496797942</v>
      </c>
      <c r="V78" s="215">
        <f>+U78+V76</f>
        <v>1476.0055073037315</v>
      </c>
    </row>
    <row r="79" spans="1:22" s="176" customFormat="1" x14ac:dyDescent="0.2">
      <c r="A79" s="32"/>
      <c r="C79" s="216"/>
      <c r="D79" s="215"/>
      <c r="E79" s="215"/>
      <c r="F79" s="215"/>
      <c r="G79" s="215"/>
      <c r="H79" s="215"/>
      <c r="I79" s="215"/>
      <c r="J79" s="369"/>
      <c r="K79" s="298"/>
      <c r="L79" s="215"/>
      <c r="M79" s="217"/>
      <c r="N79" s="215"/>
      <c r="O79" s="217"/>
      <c r="P79" s="217"/>
      <c r="Q79" s="217"/>
      <c r="R79" s="215"/>
      <c r="S79" s="215"/>
      <c r="T79" s="215"/>
      <c r="U79" s="215"/>
      <c r="V79" s="215"/>
    </row>
    <row r="80" spans="1:22" s="220" customFormat="1" ht="15.75" x14ac:dyDescent="0.25">
      <c r="A80" s="221"/>
      <c r="B80" s="223" t="s">
        <v>128</v>
      </c>
      <c r="C80" s="224"/>
      <c r="D80" s="224">
        <f t="shared" ref="D80:V80" si="19">-SUM(D64:D74)</f>
        <v>-96</v>
      </c>
      <c r="E80" s="224">
        <f t="shared" si="19"/>
        <v>213.7</v>
      </c>
      <c r="F80" s="224">
        <f t="shared" si="19"/>
        <v>-25</v>
      </c>
      <c r="G80" s="224">
        <f t="shared" si="19"/>
        <v>-25</v>
      </c>
      <c r="H80" s="224">
        <f t="shared" si="19"/>
        <v>-1051.5</v>
      </c>
      <c r="I80" s="224">
        <f t="shared" si="19"/>
        <v>0</v>
      </c>
      <c r="J80" s="367">
        <f t="shared" si="19"/>
        <v>-26.1</v>
      </c>
      <c r="K80" s="300">
        <f t="shared" si="19"/>
        <v>-8.3000000000000007</v>
      </c>
      <c r="L80" s="224">
        <f t="shared" si="19"/>
        <v>-119.3</v>
      </c>
      <c r="M80" s="224">
        <f t="shared" si="19"/>
        <v>0</v>
      </c>
      <c r="N80" s="224">
        <f t="shared" si="19"/>
        <v>-68.278494375000008</v>
      </c>
      <c r="O80" s="224">
        <f t="shared" si="19"/>
        <v>0</v>
      </c>
      <c r="P80" s="224">
        <f t="shared" si="19"/>
        <v>-190.49130606828516</v>
      </c>
      <c r="Q80" s="224">
        <f t="shared" si="19"/>
        <v>0</v>
      </c>
      <c r="R80" s="224">
        <f t="shared" si="19"/>
        <v>0</v>
      </c>
      <c r="S80" s="224">
        <f t="shared" si="19"/>
        <v>0</v>
      </c>
      <c r="T80" s="224">
        <f t="shared" si="19"/>
        <v>0</v>
      </c>
      <c r="U80" s="224">
        <f t="shared" si="19"/>
        <v>0</v>
      </c>
      <c r="V80" s="225">
        <f t="shared" si="19"/>
        <v>0</v>
      </c>
    </row>
    <row r="81" spans="1:22" s="232" customFormat="1" ht="15.75" x14ac:dyDescent="0.25">
      <c r="A81" s="228"/>
      <c r="B81" s="223" t="s">
        <v>127</v>
      </c>
      <c r="C81" s="224">
        <v>1891</v>
      </c>
      <c r="D81" s="224">
        <f>+C81+D80</f>
        <v>1795</v>
      </c>
      <c r="E81" s="224">
        <f t="shared" ref="E81:V81" si="20">+D81+E80</f>
        <v>2008.7</v>
      </c>
      <c r="F81" s="224">
        <f t="shared" si="20"/>
        <v>1983.7</v>
      </c>
      <c r="G81" s="224">
        <f t="shared" si="20"/>
        <v>1958.7</v>
      </c>
      <c r="H81" s="224">
        <f t="shared" si="20"/>
        <v>907.2</v>
      </c>
      <c r="I81" s="224">
        <f t="shared" si="20"/>
        <v>907.2</v>
      </c>
      <c r="J81" s="224">
        <f t="shared" si="20"/>
        <v>881.1</v>
      </c>
      <c r="K81" s="300">
        <f t="shared" si="20"/>
        <v>872.80000000000007</v>
      </c>
      <c r="L81" s="224">
        <f t="shared" si="20"/>
        <v>753.50000000000011</v>
      </c>
      <c r="M81" s="224">
        <f t="shared" si="20"/>
        <v>753.50000000000011</v>
      </c>
      <c r="N81" s="224">
        <f t="shared" si="20"/>
        <v>685.22150562500008</v>
      </c>
      <c r="O81" s="224">
        <f t="shared" si="20"/>
        <v>685.22150562500008</v>
      </c>
      <c r="P81" s="224">
        <f t="shared" si="20"/>
        <v>494.73019955671492</v>
      </c>
      <c r="Q81" s="224">
        <f t="shared" si="20"/>
        <v>494.73019955671492</v>
      </c>
      <c r="R81" s="224">
        <f t="shared" si="20"/>
        <v>494.73019955671492</v>
      </c>
      <c r="S81" s="224">
        <f t="shared" si="20"/>
        <v>494.73019955671492</v>
      </c>
      <c r="T81" s="224">
        <f t="shared" si="20"/>
        <v>494.73019955671492</v>
      </c>
      <c r="U81" s="224">
        <f t="shared" si="20"/>
        <v>494.73019955671492</v>
      </c>
      <c r="V81" s="225">
        <f t="shared" si="20"/>
        <v>494.73019955671492</v>
      </c>
    </row>
    <row r="82" spans="1:22" s="232" customFormat="1" ht="16.5" thickBot="1" x14ac:dyDescent="0.3">
      <c r="A82" s="228"/>
      <c r="B82" s="366" t="s">
        <v>172</v>
      </c>
      <c r="C82" s="367"/>
      <c r="D82" s="367"/>
      <c r="E82" s="367"/>
      <c r="F82" s="367"/>
      <c r="G82" s="367"/>
      <c r="H82" s="367"/>
      <c r="I82" s="367">
        <v>724</v>
      </c>
      <c r="J82" s="224">
        <v>664</v>
      </c>
      <c r="K82" s="368">
        <v>601</v>
      </c>
      <c r="L82" s="373">
        <f>L81-L78</f>
        <v>556.15276250000011</v>
      </c>
      <c r="M82" s="373">
        <f>M81-M78</f>
        <v>527.94620750000013</v>
      </c>
      <c r="N82" s="373">
        <f t="shared" ref="N82:Q82" si="21">N81-N78</f>
        <v>492.99869467500002</v>
      </c>
      <c r="O82" s="373">
        <f t="shared" si="21"/>
        <v>453.95779940895318</v>
      </c>
      <c r="P82" s="373">
        <f t="shared" si="21"/>
        <v>411.86960815151758</v>
      </c>
      <c r="Q82" s="373">
        <f t="shared" si="21"/>
        <v>241.88856202950822</v>
      </c>
      <c r="R82" s="367"/>
      <c r="S82" s="367"/>
      <c r="T82" s="367"/>
      <c r="U82" s="367"/>
      <c r="V82" s="367"/>
    </row>
    <row r="83" spans="1:22" s="356" customFormat="1" ht="15.75" x14ac:dyDescent="0.25">
      <c r="B83" s="356" t="s">
        <v>163</v>
      </c>
      <c r="D83" s="355"/>
      <c r="H83" s="358">
        <v>1.4</v>
      </c>
      <c r="I83" s="359">
        <v>1.3</v>
      </c>
      <c r="J83" s="356">
        <v>1.3</v>
      </c>
      <c r="K83" s="356">
        <v>1.3</v>
      </c>
      <c r="L83" s="355"/>
    </row>
    <row r="84" spans="1:22" ht="15.75" x14ac:dyDescent="0.25">
      <c r="B84" s="268" t="s">
        <v>50</v>
      </c>
      <c r="H84" s="4"/>
    </row>
    <row r="85" spans="1:22" ht="15.75" x14ac:dyDescent="0.25">
      <c r="B85" s="268"/>
      <c r="K85" s="374"/>
      <c r="L85" s="374"/>
    </row>
    <row r="86" spans="1:22" ht="15.75" x14ac:dyDescent="0.25">
      <c r="B86" s="268"/>
      <c r="L86" s="374"/>
    </row>
    <row r="88" spans="1:22" s="281" customFormat="1" ht="15.75" x14ac:dyDescent="0.25">
      <c r="A88" s="280"/>
      <c r="B88" s="281" t="s">
        <v>146</v>
      </c>
      <c r="D88" s="232">
        <v>27.995000000000001</v>
      </c>
      <c r="E88" s="232">
        <f>+D88</f>
        <v>27.995000000000001</v>
      </c>
      <c r="F88" s="232">
        <f>+E88</f>
        <v>27.995000000000001</v>
      </c>
      <c r="G88" s="232">
        <f>+F88</f>
        <v>27.995000000000001</v>
      </c>
      <c r="H88" s="232">
        <v>27.995000000000001</v>
      </c>
      <c r="I88" s="232">
        <v>27.995000000000001</v>
      </c>
      <c r="J88" s="232">
        <v>27.995000000000001</v>
      </c>
      <c r="K88" s="232">
        <v>27.995000000000001</v>
      </c>
      <c r="L88" s="232"/>
      <c r="M88" s="232"/>
      <c r="N88" s="232"/>
      <c r="O88" s="232"/>
      <c r="P88" s="232"/>
      <c r="Q88" s="232"/>
      <c r="R88" s="232"/>
      <c r="S88" s="232"/>
      <c r="T88" s="232"/>
      <c r="U88" s="232"/>
      <c r="V88" s="232"/>
    </row>
    <row r="89" spans="1:22" s="281" customFormat="1" ht="15" x14ac:dyDescent="0.2">
      <c r="A89" s="280"/>
    </row>
    <row r="90" spans="1:22" s="281" customFormat="1" ht="15.75" thickBot="1" x14ac:dyDescent="0.25">
      <c r="A90" s="280"/>
      <c r="B90" s="281" t="s">
        <v>147</v>
      </c>
      <c r="E90" s="282">
        <v>-2869.3</v>
      </c>
      <c r="F90" s="282">
        <v>67.7</v>
      </c>
      <c r="G90" s="282">
        <v>24</v>
      </c>
      <c r="H90" s="282">
        <v>823.5</v>
      </c>
      <c r="I90" s="282">
        <v>53.5</v>
      </c>
      <c r="J90" s="282">
        <v>50.5</v>
      </c>
      <c r="K90" s="282">
        <v>41.8</v>
      </c>
      <c r="L90" s="282"/>
      <c r="M90" s="282"/>
      <c r="N90" s="282"/>
      <c r="O90" s="282"/>
      <c r="P90" s="282"/>
      <c r="Q90" s="282"/>
      <c r="R90" s="282"/>
      <c r="S90" s="282"/>
      <c r="T90" s="282"/>
      <c r="U90" s="282"/>
      <c r="V90" s="282"/>
    </row>
    <row r="91" spans="1:22" s="281" customFormat="1" ht="15" x14ac:dyDescent="0.2">
      <c r="A91" s="280"/>
      <c r="B91" s="317" t="s">
        <v>150</v>
      </c>
      <c r="C91" s="318"/>
      <c r="D91" s="318"/>
      <c r="E91" s="319"/>
      <c r="F91" s="319"/>
      <c r="G91" s="319"/>
      <c r="H91" s="319"/>
      <c r="I91" s="319"/>
      <c r="J91" s="319"/>
      <c r="K91" s="319"/>
      <c r="L91" s="319"/>
      <c r="M91" s="319"/>
      <c r="N91" s="319"/>
      <c r="O91" s="319"/>
      <c r="P91" s="319"/>
      <c r="Q91" s="319"/>
      <c r="R91" s="319"/>
      <c r="S91" s="319"/>
      <c r="T91" s="319"/>
      <c r="U91" s="319"/>
      <c r="V91" s="320"/>
    </row>
    <row r="92" spans="1:22" s="281" customFormat="1" ht="15" x14ac:dyDescent="0.2">
      <c r="A92" s="280"/>
      <c r="B92" s="321" t="s">
        <v>161</v>
      </c>
      <c r="C92" s="322"/>
      <c r="D92" s="322"/>
      <c r="E92" s="323">
        <f>146-30</f>
        <v>116</v>
      </c>
      <c r="F92" s="323">
        <f>145.2-24.2</f>
        <v>120.99999999999999</v>
      </c>
      <c r="G92" s="323">
        <f>137.775-26.6</f>
        <v>111.17500000000001</v>
      </c>
      <c r="H92" s="323">
        <f>141.56-23.4</f>
        <v>118.16</v>
      </c>
      <c r="I92" s="323">
        <v>101.8</v>
      </c>
      <c r="J92" s="323">
        <f>+J23-14.8</f>
        <v>92.412000000000006</v>
      </c>
      <c r="K92" s="323">
        <f>+K23-11</f>
        <v>91.05080000000001</v>
      </c>
      <c r="L92" s="324"/>
      <c r="M92" s="323"/>
      <c r="N92" s="323"/>
      <c r="O92" s="323"/>
      <c r="P92" s="323"/>
      <c r="Q92" s="323"/>
      <c r="R92" s="323"/>
      <c r="S92" s="323"/>
      <c r="T92" s="323"/>
      <c r="U92" s="323"/>
      <c r="V92" s="325"/>
    </row>
    <row r="93" spans="1:22" s="281" customFormat="1" ht="15" x14ac:dyDescent="0.2">
      <c r="A93" s="280"/>
      <c r="B93" s="321"/>
      <c r="C93" s="322"/>
      <c r="D93" s="322"/>
      <c r="E93" s="322"/>
      <c r="F93" s="322"/>
      <c r="G93" s="322"/>
      <c r="H93" s="322"/>
      <c r="I93" s="322"/>
      <c r="J93" s="322"/>
      <c r="K93" s="322"/>
      <c r="L93" s="322"/>
      <c r="M93" s="322"/>
      <c r="N93" s="322"/>
      <c r="O93" s="322"/>
      <c r="P93" s="322"/>
      <c r="Q93" s="322"/>
      <c r="R93" s="322"/>
      <c r="S93" s="322"/>
      <c r="T93" s="322"/>
      <c r="U93" s="322"/>
      <c r="V93" s="326"/>
    </row>
    <row r="94" spans="1:22" s="285" customFormat="1" ht="16.5" thickBot="1" x14ac:dyDescent="0.3">
      <c r="A94" s="284"/>
      <c r="B94" s="327" t="s">
        <v>148</v>
      </c>
      <c r="C94" s="328"/>
      <c r="D94" s="328"/>
      <c r="E94" s="328"/>
      <c r="F94" s="329">
        <f t="shared" ref="F94:K94" si="22">+(F92*4)/F$88</f>
        <v>17.288801571709232</v>
      </c>
      <c r="G94" s="329">
        <f t="shared" si="22"/>
        <v>15.884979460617968</v>
      </c>
      <c r="H94" s="329">
        <f t="shared" si="22"/>
        <v>16.883014824075726</v>
      </c>
      <c r="I94" s="329">
        <f t="shared" si="22"/>
        <v>14.545454545454545</v>
      </c>
      <c r="J94" s="329">
        <f t="shared" si="22"/>
        <v>13.204072155742097</v>
      </c>
      <c r="K94" s="329">
        <f t="shared" si="22"/>
        <v>13.00958028219325</v>
      </c>
      <c r="L94" s="328"/>
      <c r="M94" s="328"/>
      <c r="N94" s="328"/>
      <c r="O94" s="328"/>
      <c r="P94" s="328"/>
      <c r="Q94" s="328"/>
      <c r="R94" s="328"/>
      <c r="S94" s="328"/>
      <c r="T94" s="328"/>
      <c r="U94" s="328"/>
      <c r="V94" s="330"/>
    </row>
    <row r="95" spans="1:22" s="281" customFormat="1" ht="15" x14ac:dyDescent="0.2">
      <c r="A95" s="280"/>
    </row>
    <row r="96" spans="1:22" s="285" customFormat="1" ht="15.75" x14ac:dyDescent="0.25">
      <c r="A96" s="284"/>
      <c r="B96" s="285" t="s">
        <v>149</v>
      </c>
      <c r="E96" s="286">
        <f t="shared" ref="E96:K96" si="23">+E23/E$88*4</f>
        <v>20.860868012145026</v>
      </c>
      <c r="F96" s="286">
        <f t="shared" si="23"/>
        <v>20.746561886051079</v>
      </c>
      <c r="G96" s="286">
        <f t="shared" si="23"/>
        <v>19.689230219682088</v>
      </c>
      <c r="H96" s="286">
        <f t="shared" si="23"/>
        <v>20.225040185747456</v>
      </c>
      <c r="I96" s="286">
        <f t="shared" si="23"/>
        <v>16.50294695481336</v>
      </c>
      <c r="J96" s="286">
        <f t="shared" si="23"/>
        <v>15.318735488480085</v>
      </c>
      <c r="K96" s="286">
        <f t="shared" si="23"/>
        <v>14.581289515984999</v>
      </c>
    </row>
    <row r="97" spans="1:22" s="285" customFormat="1" ht="15.75" x14ac:dyDescent="0.25">
      <c r="A97" s="284"/>
      <c r="E97" s="286"/>
      <c r="F97" s="286"/>
      <c r="G97" s="286"/>
      <c r="H97" s="286"/>
      <c r="I97" s="286"/>
      <c r="J97" s="286"/>
    </row>
    <row r="98" spans="1:22" s="285" customFormat="1" ht="15.75" x14ac:dyDescent="0.25">
      <c r="A98" s="284"/>
      <c r="B98" s="285" t="s">
        <v>166</v>
      </c>
      <c r="E98" s="286"/>
      <c r="F98" s="286"/>
      <c r="G98" s="286"/>
      <c r="H98" s="286"/>
      <c r="I98" s="286">
        <v>11.79</v>
      </c>
      <c r="J98" s="286">
        <v>12.25</v>
      </c>
      <c r="K98" s="286">
        <v>13.96</v>
      </c>
    </row>
    <row r="99" spans="1:22" s="285" customFormat="1" ht="15.75" x14ac:dyDescent="0.25">
      <c r="A99" s="284"/>
      <c r="B99" s="285" t="s">
        <v>167</v>
      </c>
      <c r="E99" s="286"/>
      <c r="F99" s="286"/>
      <c r="G99" s="286"/>
      <c r="H99" s="286"/>
      <c r="I99" s="357">
        <f>+I98/I94</f>
        <v>0.81056249999999996</v>
      </c>
      <c r="J99" s="357">
        <f>+J98/J94</f>
        <v>0.92774409708695837</v>
      </c>
      <c r="K99" s="357">
        <f>+K98/K94</f>
        <v>1.0730553712872375</v>
      </c>
    </row>
    <row r="100" spans="1:22" s="285" customFormat="1" ht="15.75" x14ac:dyDescent="0.25">
      <c r="A100" s="284"/>
      <c r="B100" s="370" t="s">
        <v>175</v>
      </c>
      <c r="C100" s="370"/>
      <c r="D100" s="370"/>
      <c r="E100" s="371"/>
      <c r="F100" s="371"/>
      <c r="G100" s="371"/>
      <c r="H100" s="371"/>
      <c r="I100" s="372">
        <v>1.91</v>
      </c>
      <c r="J100" s="372">
        <v>1.81</v>
      </c>
      <c r="K100" s="372">
        <v>1.51</v>
      </c>
    </row>
    <row r="102" spans="1:22" s="96" customFormat="1" ht="15.75" x14ac:dyDescent="0.25">
      <c r="A102" s="302"/>
      <c r="B102" s="303"/>
      <c r="C102" s="304"/>
      <c r="D102" s="304"/>
      <c r="E102" s="304"/>
      <c r="F102" s="304"/>
      <c r="G102" s="304"/>
      <c r="H102" s="304"/>
      <c r="I102" s="304"/>
      <c r="J102" s="304"/>
      <c r="K102" s="304"/>
      <c r="L102" s="304"/>
      <c r="M102" s="304"/>
      <c r="N102" s="304"/>
      <c r="O102" s="304"/>
      <c r="P102" s="304"/>
      <c r="Q102" s="304"/>
      <c r="R102" s="304"/>
      <c r="S102" s="304"/>
      <c r="T102" s="304"/>
      <c r="U102" s="304"/>
      <c r="V102" s="305"/>
    </row>
    <row r="103" spans="1:22" s="96" customFormat="1" ht="15.75" x14ac:dyDescent="0.25">
      <c r="A103" s="302"/>
      <c r="B103" s="306" t="s">
        <v>152</v>
      </c>
      <c r="C103" s="307"/>
      <c r="D103" s="307"/>
      <c r="E103" s="307"/>
      <c r="F103" s="307"/>
      <c r="G103" s="307"/>
      <c r="H103" s="308">
        <v>61.75</v>
      </c>
      <c r="I103" s="308">
        <v>86.6</v>
      </c>
      <c r="J103" s="308">
        <v>86.5</v>
      </c>
      <c r="K103" s="307">
        <v>79.2</v>
      </c>
      <c r="L103" s="307"/>
      <c r="M103" s="307"/>
      <c r="N103" s="307"/>
      <c r="O103" s="307"/>
      <c r="P103" s="307"/>
      <c r="Q103" s="307"/>
      <c r="R103" s="307"/>
      <c r="S103" s="307"/>
      <c r="T103" s="307"/>
      <c r="U103" s="307"/>
      <c r="V103" s="309"/>
    </row>
    <row r="104" spans="1:22" s="96" customFormat="1" ht="15.75" x14ac:dyDescent="0.25">
      <c r="A104" s="302"/>
      <c r="B104" s="306" t="s">
        <v>153</v>
      </c>
      <c r="C104" s="307"/>
      <c r="D104" s="307"/>
      <c r="E104" s="307"/>
      <c r="F104" s="307"/>
      <c r="G104" s="307"/>
      <c r="H104" s="308">
        <v>47.98</v>
      </c>
      <c r="I104" s="308">
        <v>67.7</v>
      </c>
      <c r="J104" s="308">
        <v>68.5</v>
      </c>
      <c r="K104" s="307">
        <v>64.3</v>
      </c>
      <c r="L104" s="307"/>
      <c r="M104" s="307"/>
      <c r="N104" s="307"/>
      <c r="O104" s="307"/>
      <c r="P104" s="307"/>
      <c r="Q104" s="307"/>
      <c r="R104" s="307"/>
      <c r="S104" s="307"/>
      <c r="T104" s="307"/>
      <c r="U104" s="307"/>
      <c r="V104" s="309"/>
    </row>
    <row r="105" spans="1:22" s="96" customFormat="1" ht="15.75" x14ac:dyDescent="0.25">
      <c r="A105" s="302"/>
      <c r="B105" s="306"/>
      <c r="C105" s="307"/>
      <c r="D105" s="307"/>
      <c r="E105" s="307"/>
      <c r="F105" s="307"/>
      <c r="G105" s="307"/>
      <c r="H105" s="307"/>
      <c r="I105" s="307"/>
      <c r="J105" s="307"/>
      <c r="K105" s="307"/>
      <c r="L105" s="307"/>
      <c r="M105" s="307"/>
      <c r="N105" s="307"/>
      <c r="O105" s="307"/>
      <c r="P105" s="307"/>
      <c r="Q105" s="307"/>
      <c r="R105" s="307"/>
      <c r="S105" s="307"/>
      <c r="T105" s="307"/>
      <c r="U105" s="307"/>
      <c r="V105" s="309"/>
    </row>
    <row r="106" spans="1:22" s="96" customFormat="1" ht="15.75" x14ac:dyDescent="0.25">
      <c r="A106" s="302"/>
      <c r="B106" s="306" t="s">
        <v>154</v>
      </c>
      <c r="C106" s="307"/>
      <c r="D106" s="307"/>
      <c r="E106" s="307"/>
      <c r="F106" s="307"/>
      <c r="G106" s="307"/>
      <c r="H106" s="310">
        <f>+H103/$H$88</f>
        <v>2.2057510269691014</v>
      </c>
      <c r="I106" s="310">
        <f>+I103/$H$88</f>
        <v>3.0934095374173958</v>
      </c>
      <c r="J106" s="310">
        <f>+J103/$H$88</f>
        <v>3.0898374709769603</v>
      </c>
      <c r="K106" s="310">
        <f>+K103/$H$88</f>
        <v>2.8290766208251474</v>
      </c>
      <c r="L106" s="307"/>
      <c r="M106" s="307"/>
      <c r="N106" s="307"/>
      <c r="O106" s="307"/>
      <c r="P106" s="307"/>
      <c r="Q106" s="307"/>
      <c r="R106" s="307"/>
      <c r="S106" s="307"/>
      <c r="T106" s="307"/>
      <c r="U106" s="307"/>
      <c r="V106" s="309"/>
    </row>
    <row r="107" spans="1:22" s="96" customFormat="1" ht="15.75" x14ac:dyDescent="0.25">
      <c r="A107" s="302"/>
      <c r="B107" s="306" t="s">
        <v>155</v>
      </c>
      <c r="C107" s="307"/>
      <c r="D107" s="307"/>
      <c r="E107" s="307"/>
      <c r="F107" s="307"/>
      <c r="G107" s="307"/>
      <c r="H107" s="310">
        <f>+H$104/H$88</f>
        <v>1.7138774781210928</v>
      </c>
      <c r="I107" s="310">
        <f>+I$104/H$88</f>
        <v>2.4182889801750314</v>
      </c>
      <c r="J107" s="310">
        <f>+J$104/I$88</f>
        <v>2.4468655116985176</v>
      </c>
      <c r="K107" s="310">
        <f>+K$104/J$88</f>
        <v>2.2968387212002139</v>
      </c>
      <c r="L107" s="307"/>
      <c r="M107" s="307"/>
      <c r="N107" s="307"/>
      <c r="O107" s="307"/>
      <c r="P107" s="307"/>
      <c r="Q107" s="307"/>
      <c r="R107" s="307"/>
      <c r="S107" s="307"/>
      <c r="T107" s="307"/>
      <c r="U107" s="307"/>
      <c r="V107" s="309"/>
    </row>
    <row r="108" spans="1:22" s="96" customFormat="1" ht="15.75" x14ac:dyDescent="0.25">
      <c r="A108" s="302"/>
      <c r="B108" s="311" t="s">
        <v>162</v>
      </c>
      <c r="C108" s="312"/>
      <c r="D108" s="312"/>
      <c r="E108" s="312"/>
      <c r="F108" s="312"/>
      <c r="G108" s="312"/>
      <c r="H108" s="313">
        <f>+H107*4</f>
        <v>6.8555099124843712</v>
      </c>
      <c r="I108" s="313">
        <f>+I107*4</f>
        <v>9.6731559207001254</v>
      </c>
      <c r="J108" s="313">
        <f>+J107*4</f>
        <v>9.7874620467940705</v>
      </c>
      <c r="K108" s="313">
        <f>+K107*4</f>
        <v>9.1873548848008557</v>
      </c>
      <c r="L108" s="312"/>
      <c r="M108" s="312"/>
      <c r="N108" s="312"/>
      <c r="O108" s="312"/>
      <c r="P108" s="312"/>
      <c r="Q108" s="312"/>
      <c r="R108" s="312"/>
      <c r="S108" s="312"/>
      <c r="T108" s="312"/>
      <c r="U108" s="312"/>
      <c r="V108" s="314"/>
    </row>
    <row r="109" spans="1:22" s="16" customFormat="1" x14ac:dyDescent="0.2">
      <c r="A109" s="17"/>
    </row>
    <row r="110" spans="1:22" ht="20.25" x14ac:dyDescent="0.3">
      <c r="B110" s="316" t="s">
        <v>156</v>
      </c>
    </row>
    <row r="111" spans="1:22" ht="20.25" x14ac:dyDescent="0.3">
      <c r="B111" s="315" t="s">
        <v>158</v>
      </c>
    </row>
    <row r="112" spans="1:22" ht="20.25" x14ac:dyDescent="0.3">
      <c r="B112" s="315" t="s">
        <v>159</v>
      </c>
    </row>
    <row r="113" spans="2:2" ht="20.25" x14ac:dyDescent="0.3">
      <c r="B113" s="315" t="s">
        <v>157</v>
      </c>
    </row>
  </sheetData>
  <phoneticPr fontId="7" type="noConversion"/>
  <pageMargins left="0.75" right="0.75" top="1" bottom="1" header="0.5" footer="0.5"/>
  <pageSetup paperSize="9" orientation="portrait" horizontalDpi="0" verticalDpi="0" r:id="rId1"/>
  <headerFooter alignWithMargins="0"/>
  <legacyDrawing r:id="rId2"/>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V113"/>
  <sheetViews>
    <sheetView workbookViewId="0">
      <pane xSplit="4" ySplit="6" topLeftCell="J7" activePane="bottomRight" state="frozen"/>
      <selection pane="topRight" activeCell="E1" sqref="E1"/>
      <selection pane="bottomLeft" activeCell="A7" sqref="A7"/>
      <selection pane="bottomRight" sqref="A1:IV65536"/>
    </sheetView>
  </sheetViews>
  <sheetFormatPr defaultRowHeight="12.75" x14ac:dyDescent="0.2"/>
  <cols>
    <col min="1" max="1" width="4.5703125" style="463" customWidth="1"/>
    <col min="2" max="2" width="21.42578125" style="462" customWidth="1"/>
    <col min="3" max="3" width="8" style="462" customWidth="1"/>
    <col min="4" max="4" width="9.140625" style="462"/>
    <col min="5" max="5" width="10.85546875" style="462" customWidth="1"/>
    <col min="6" max="16" width="9.7109375" style="462" customWidth="1"/>
    <col min="17" max="22" width="11.28515625" style="462" customWidth="1"/>
    <col min="23" max="16384" width="9.140625" style="462"/>
  </cols>
  <sheetData>
    <row r="1" spans="1:22" ht="33.75" thickBot="1" x14ac:dyDescent="0.65">
      <c r="B1" s="656" t="s">
        <v>176</v>
      </c>
      <c r="G1" s="647"/>
      <c r="H1" s="655"/>
      <c r="I1" s="654"/>
      <c r="J1" s="655" t="s">
        <v>108</v>
      </c>
      <c r="K1" s="654"/>
      <c r="L1" s="654"/>
    </row>
    <row r="2" spans="1:22" s="647" customFormat="1" ht="36" customHeight="1" thickBot="1" x14ac:dyDescent="0.55000000000000004">
      <c r="A2" s="562"/>
      <c r="B2" s="653"/>
      <c r="G2" s="652"/>
      <c r="H2" s="651"/>
      <c r="I2" s="649"/>
      <c r="J2" s="650" t="s">
        <v>173</v>
      </c>
      <c r="K2" s="649"/>
      <c r="L2" s="649"/>
      <c r="M2" s="648"/>
    </row>
    <row r="3" spans="1:22" ht="20.25" x14ac:dyDescent="0.3">
      <c r="B3" s="646" t="s">
        <v>110</v>
      </c>
      <c r="C3" s="627"/>
      <c r="D3" s="645"/>
      <c r="E3" s="626"/>
      <c r="F3" s="468"/>
    </row>
    <row r="4" spans="1:22" s="541" customFormat="1" ht="16.5" thickBot="1" x14ac:dyDescent="0.3">
      <c r="A4" s="467"/>
      <c r="C4" s="620"/>
      <c r="D4" s="619" t="s">
        <v>20</v>
      </c>
      <c r="E4" s="644" t="s">
        <v>1</v>
      </c>
      <c r="F4" s="643" t="s">
        <v>2</v>
      </c>
      <c r="G4" s="643" t="s">
        <v>3</v>
      </c>
      <c r="H4" s="643" t="s">
        <v>4</v>
      </c>
      <c r="I4" s="642" t="s">
        <v>5</v>
      </c>
      <c r="J4" s="642" t="s">
        <v>6</v>
      </c>
      <c r="K4" s="642" t="s">
        <v>7</v>
      </c>
      <c r="L4" s="642" t="s">
        <v>8</v>
      </c>
      <c r="M4" s="615" t="s">
        <v>9</v>
      </c>
      <c r="N4" s="615" t="s">
        <v>10</v>
      </c>
      <c r="O4" s="615" t="s">
        <v>11</v>
      </c>
      <c r="P4" s="615" t="s">
        <v>12</v>
      </c>
      <c r="Q4" s="665">
        <v>2015</v>
      </c>
      <c r="R4" s="664">
        <v>2016</v>
      </c>
      <c r="S4" s="665">
        <v>2017</v>
      </c>
      <c r="T4" s="664">
        <v>2018</v>
      </c>
      <c r="U4" s="665">
        <v>2019</v>
      </c>
      <c r="V4" s="664">
        <v>2020</v>
      </c>
    </row>
    <row r="5" spans="1:22" s="629" customFormat="1" ht="17.25" thickBot="1" x14ac:dyDescent="0.3">
      <c r="B5" s="639" t="s">
        <v>105</v>
      </c>
      <c r="C5" s="638"/>
      <c r="D5" s="638"/>
      <c r="E5" s="633"/>
      <c r="F5" s="633"/>
      <c r="G5" s="633"/>
      <c r="H5" s="633"/>
      <c r="I5" s="633"/>
      <c r="J5" s="633"/>
      <c r="K5" s="633"/>
      <c r="L5" s="636">
        <v>2.5000000000000001E-2</v>
      </c>
      <c r="M5" s="663">
        <f>+L5</f>
        <v>2.5000000000000001E-2</v>
      </c>
      <c r="N5" s="633">
        <f>+M5</f>
        <v>2.5000000000000001E-2</v>
      </c>
      <c r="O5" s="633">
        <f>+N5</f>
        <v>2.5000000000000001E-2</v>
      </c>
      <c r="P5" s="636">
        <f>+O5</f>
        <v>2.5000000000000001E-2</v>
      </c>
      <c r="Q5" s="637">
        <v>0.15</v>
      </c>
      <c r="R5" s="637">
        <v>0.15</v>
      </c>
      <c r="S5" s="636">
        <v>0.15</v>
      </c>
      <c r="T5" s="636">
        <v>0.15</v>
      </c>
      <c r="U5" s="636">
        <v>0.15</v>
      </c>
      <c r="V5" s="636">
        <v>0.15</v>
      </c>
    </row>
    <row r="6" spans="1:22" s="629" customFormat="1" ht="17.25" thickBot="1" x14ac:dyDescent="0.3">
      <c r="B6" s="635" t="s">
        <v>106</v>
      </c>
      <c r="C6" s="634"/>
      <c r="D6" s="634"/>
      <c r="E6" s="633"/>
      <c r="F6" s="632"/>
      <c r="G6" s="632"/>
      <c r="H6" s="632"/>
      <c r="I6" s="632"/>
      <c r="J6" s="632"/>
      <c r="K6" s="662"/>
      <c r="L6" s="630">
        <v>-0.06</v>
      </c>
      <c r="M6" s="661">
        <f>+L6</f>
        <v>-0.06</v>
      </c>
      <c r="N6" s="632">
        <f>+M6</f>
        <v>-0.06</v>
      </c>
      <c r="O6" s="632">
        <f>+N6</f>
        <v>-0.06</v>
      </c>
      <c r="P6" s="630">
        <f>+O6</f>
        <v>-0.06</v>
      </c>
      <c r="Q6" s="631">
        <v>-0.24</v>
      </c>
      <c r="R6" s="631">
        <v>-0.24</v>
      </c>
      <c r="S6" s="630">
        <v>-0.24</v>
      </c>
      <c r="T6" s="630">
        <v>-0.24</v>
      </c>
      <c r="U6" s="630">
        <v>-0.24</v>
      </c>
      <c r="V6" s="630">
        <v>0</v>
      </c>
    </row>
    <row r="7" spans="1:22" ht="20.25" x14ac:dyDescent="0.3">
      <c r="B7" s="628"/>
      <c r="C7" s="627"/>
      <c r="D7" s="627"/>
      <c r="E7" s="626"/>
      <c r="F7" s="625"/>
      <c r="G7" s="624"/>
      <c r="H7" s="624"/>
      <c r="I7" s="624"/>
      <c r="J7" s="624"/>
      <c r="K7" s="660"/>
    </row>
    <row r="8" spans="1:22" s="466" customFormat="1" ht="15.75" x14ac:dyDescent="0.25">
      <c r="A8" s="467"/>
      <c r="D8" s="539"/>
      <c r="E8" s="622"/>
      <c r="F8" s="622"/>
      <c r="G8" s="622"/>
      <c r="H8" s="622"/>
      <c r="I8" s="622"/>
      <c r="J8" s="622"/>
      <c r="K8" s="621" t="s">
        <v>56</v>
      </c>
    </row>
    <row r="9" spans="1:22" s="541" customFormat="1" x14ac:dyDescent="0.2">
      <c r="A9" s="467"/>
      <c r="C9" s="620" t="s">
        <v>36</v>
      </c>
      <c r="D9" s="619" t="s">
        <v>20</v>
      </c>
      <c r="E9" s="618" t="s">
        <v>1</v>
      </c>
      <c r="F9" s="618" t="s">
        <v>2</v>
      </c>
      <c r="G9" s="618" t="s">
        <v>3</v>
      </c>
      <c r="H9" s="618" t="s">
        <v>4</v>
      </c>
      <c r="I9" s="617" t="s">
        <v>5</v>
      </c>
      <c r="J9" s="617" t="s">
        <v>6</v>
      </c>
      <c r="K9" s="616" t="s">
        <v>7</v>
      </c>
      <c r="L9" s="642" t="s">
        <v>8</v>
      </c>
      <c r="M9" s="615" t="s">
        <v>9</v>
      </c>
      <c r="N9" s="615" t="s">
        <v>10</v>
      </c>
      <c r="O9" s="615" t="s">
        <v>11</v>
      </c>
      <c r="P9" s="615" t="s">
        <v>12</v>
      </c>
      <c r="Q9" s="613">
        <v>2015</v>
      </c>
      <c r="R9" s="612">
        <v>2016</v>
      </c>
      <c r="S9" s="613">
        <v>2017</v>
      </c>
      <c r="T9" s="612">
        <v>2018</v>
      </c>
      <c r="U9" s="613">
        <v>2019</v>
      </c>
      <c r="V9" s="612">
        <v>2020</v>
      </c>
    </row>
    <row r="10" spans="1:22" s="557" customFormat="1" x14ac:dyDescent="0.2">
      <c r="A10" s="562"/>
      <c r="B10" s="583" t="s">
        <v>57</v>
      </c>
      <c r="C10" s="560"/>
      <c r="D10" s="580"/>
      <c r="E10" s="580"/>
      <c r="F10" s="580"/>
      <c r="G10" s="580"/>
      <c r="H10" s="580"/>
      <c r="I10" s="580"/>
      <c r="J10" s="580"/>
      <c r="K10" s="611"/>
    </row>
    <row r="11" spans="1:22" s="557" customFormat="1" x14ac:dyDescent="0.2">
      <c r="A11" s="562"/>
      <c r="B11" s="585"/>
      <c r="C11" s="560"/>
      <c r="D11" s="580"/>
      <c r="E11" s="580"/>
      <c r="F11" s="580"/>
      <c r="G11" s="580"/>
      <c r="H11" s="580"/>
      <c r="I11" s="580"/>
      <c r="J11" s="580"/>
      <c r="K11" s="611"/>
    </row>
    <row r="12" spans="1:22" s="557" customFormat="1" x14ac:dyDescent="0.2">
      <c r="A12" s="562"/>
      <c r="B12" s="607" t="s">
        <v>73</v>
      </c>
      <c r="C12" s="560"/>
      <c r="D12" s="554">
        <v>90</v>
      </c>
      <c r="E12" s="554">
        <v>85.9</v>
      </c>
      <c r="F12" s="554">
        <v>89.7</v>
      </c>
      <c r="G12" s="554">
        <v>92</v>
      </c>
      <c r="H12" s="554">
        <v>99.7</v>
      </c>
      <c r="I12" s="554">
        <v>98.9</v>
      </c>
      <c r="J12" s="554">
        <v>98.4</v>
      </c>
      <c r="K12" s="559">
        <v>101.6</v>
      </c>
      <c r="L12" s="558">
        <f>+K12*(1+L13)</f>
        <v>104.13999999999999</v>
      </c>
      <c r="M12" s="558">
        <f>+L12*(1+M13)</f>
        <v>106.74349999999998</v>
      </c>
      <c r="N12" s="558">
        <f>+M12*(1+N13)</f>
        <v>109.41208749999997</v>
      </c>
      <c r="O12" s="558">
        <f>+N12*(1+O13)</f>
        <v>112.14738968749995</v>
      </c>
      <c r="P12" s="558">
        <f>+O12*(1+P13)</f>
        <v>114.95107442968744</v>
      </c>
      <c r="Q12" s="558">
        <f>(+P12*4)*(1+Q13)</f>
        <v>528.77494237656219</v>
      </c>
      <c r="R12" s="558">
        <f>+Q12*(1+R13)</f>
        <v>608.09118373304648</v>
      </c>
      <c r="S12" s="558">
        <f>+R12*(1+S13)</f>
        <v>699.30486129300334</v>
      </c>
      <c r="T12" s="558">
        <f>+S12*(1+T13)</f>
        <v>804.20059048695373</v>
      </c>
      <c r="U12" s="558">
        <f>+T12*(1+U13)</f>
        <v>924.83067905999667</v>
      </c>
      <c r="V12" s="558">
        <f>+U12*(1+V13)</f>
        <v>1063.555280918996</v>
      </c>
    </row>
    <row r="13" spans="1:22" s="557" customFormat="1" x14ac:dyDescent="0.2">
      <c r="A13" s="562"/>
      <c r="B13" s="595" t="s">
        <v>76</v>
      </c>
      <c r="C13" s="610"/>
      <c r="D13" s="610"/>
      <c r="E13" s="606">
        <f>(+E12-D12)/D12</f>
        <v>-4.5555555555555495E-2</v>
      </c>
      <c r="F13" s="606">
        <f>(+F12-E12)/E12</f>
        <v>4.4237485448195543E-2</v>
      </c>
      <c r="G13" s="606">
        <f>(+G12-F12)/F12</f>
        <v>2.5641025641025609E-2</v>
      </c>
      <c r="H13" s="606">
        <f>(+H12-G12)/G12</f>
        <v>8.3695652173913074E-2</v>
      </c>
      <c r="I13" s="606">
        <f>(+I12-H12)/H12</f>
        <v>-8.0240722166499204E-3</v>
      </c>
      <c r="J13" s="606">
        <f>(+J12-I12)/I12</f>
        <v>-5.0556117290192111E-3</v>
      </c>
      <c r="K13" s="605">
        <f>(+K12-J12)/J12</f>
        <v>3.2520325203251918E-2</v>
      </c>
      <c r="L13" s="608">
        <f>+L5</f>
        <v>2.5000000000000001E-2</v>
      </c>
      <c r="M13" s="608">
        <f>+M5</f>
        <v>2.5000000000000001E-2</v>
      </c>
      <c r="N13" s="608">
        <f>+N5</f>
        <v>2.5000000000000001E-2</v>
      </c>
      <c r="O13" s="608">
        <f>+O5</f>
        <v>2.5000000000000001E-2</v>
      </c>
      <c r="P13" s="608">
        <f>+P5</f>
        <v>2.5000000000000001E-2</v>
      </c>
      <c r="Q13" s="608">
        <f>+Q5</f>
        <v>0.15</v>
      </c>
      <c r="R13" s="608">
        <f>+R5</f>
        <v>0.15</v>
      </c>
      <c r="S13" s="608">
        <f>+S5</f>
        <v>0.15</v>
      </c>
      <c r="T13" s="608">
        <f>+T5</f>
        <v>0.15</v>
      </c>
      <c r="U13" s="608">
        <f>+U5</f>
        <v>0.15</v>
      </c>
      <c r="V13" s="608">
        <f>+V5</f>
        <v>0.15</v>
      </c>
    </row>
    <row r="14" spans="1:22" s="598" customFormat="1" x14ac:dyDescent="0.2">
      <c r="A14" s="603"/>
      <c r="B14" s="602" t="s">
        <v>122</v>
      </c>
      <c r="C14" s="599"/>
      <c r="D14" s="599">
        <v>0.39400000000000002</v>
      </c>
      <c r="E14" s="599">
        <v>0.4</v>
      </c>
      <c r="F14" s="599">
        <f>+E14</f>
        <v>0.4</v>
      </c>
      <c r="G14" s="599">
        <v>0.43</v>
      </c>
      <c r="H14" s="599">
        <v>0.495</v>
      </c>
      <c r="I14" s="599">
        <v>0.43</v>
      </c>
      <c r="J14" s="599">
        <v>0.42</v>
      </c>
      <c r="K14" s="600">
        <v>0.41899999999999998</v>
      </c>
      <c r="L14" s="598">
        <v>0.42</v>
      </c>
      <c r="M14" s="598">
        <f>+L14</f>
        <v>0.42</v>
      </c>
      <c r="N14" s="598">
        <f>+M14</f>
        <v>0.42</v>
      </c>
      <c r="O14" s="598">
        <f>+N14</f>
        <v>0.42</v>
      </c>
      <c r="P14" s="598">
        <f>+O14</f>
        <v>0.42</v>
      </c>
      <c r="Q14" s="598">
        <f>+P14</f>
        <v>0.42</v>
      </c>
      <c r="R14" s="598">
        <f>+Q14</f>
        <v>0.42</v>
      </c>
      <c r="S14" s="598">
        <f>+R14</f>
        <v>0.42</v>
      </c>
      <c r="T14" s="598">
        <f>+S14</f>
        <v>0.42</v>
      </c>
      <c r="U14" s="598">
        <f>+T14</f>
        <v>0.42</v>
      </c>
      <c r="V14" s="598">
        <f>+U14</f>
        <v>0.42</v>
      </c>
    </row>
    <row r="15" spans="1:22" s="557" customFormat="1" x14ac:dyDescent="0.2">
      <c r="A15" s="562"/>
      <c r="B15" s="563" t="s">
        <v>75</v>
      </c>
      <c r="C15" s="560"/>
      <c r="D15" s="596">
        <f>+D12*D14</f>
        <v>35.46</v>
      </c>
      <c r="E15" s="596">
        <f>+E12*E14</f>
        <v>34.360000000000007</v>
      </c>
      <c r="F15" s="596">
        <f>+F12*F14</f>
        <v>35.880000000000003</v>
      </c>
      <c r="G15" s="596">
        <f>+G12*G14</f>
        <v>39.56</v>
      </c>
      <c r="H15" s="596">
        <f>+H12*H14</f>
        <v>49.351500000000001</v>
      </c>
      <c r="I15" s="596">
        <f>+I12*I14</f>
        <v>42.527000000000001</v>
      </c>
      <c r="J15" s="596">
        <f>+J12*J14</f>
        <v>41.328000000000003</v>
      </c>
      <c r="K15" s="597">
        <f>+K12*K14</f>
        <v>42.570399999999999</v>
      </c>
      <c r="L15" s="596">
        <f>+L12*L14</f>
        <v>43.738799999999991</v>
      </c>
      <c r="M15" s="596">
        <f>+M12*M14</f>
        <v>44.832269999999994</v>
      </c>
      <c r="N15" s="596">
        <f>+N12*N14</f>
        <v>45.953076749999987</v>
      </c>
      <c r="O15" s="596">
        <f>+O12*O14</f>
        <v>47.101903668749976</v>
      </c>
      <c r="P15" s="596">
        <f>+P12*P14</f>
        <v>48.279451260468726</v>
      </c>
      <c r="Q15" s="596">
        <f>+Q12*Q14</f>
        <v>222.08547579815612</v>
      </c>
      <c r="R15" s="596">
        <f>+R12*R14</f>
        <v>255.39829716787952</v>
      </c>
      <c r="S15" s="596">
        <f>+S12*S14</f>
        <v>293.70804174306141</v>
      </c>
      <c r="T15" s="596">
        <f>+T12*T14</f>
        <v>337.76424800452054</v>
      </c>
      <c r="U15" s="596">
        <f>+U12*U14</f>
        <v>388.42888520519858</v>
      </c>
      <c r="V15" s="596">
        <f>+V12*V14</f>
        <v>446.69321798597832</v>
      </c>
    </row>
    <row r="16" spans="1:22" s="557" customFormat="1" x14ac:dyDescent="0.2">
      <c r="A16" s="562"/>
      <c r="B16" s="607"/>
      <c r="C16" s="560"/>
      <c r="D16" s="554"/>
      <c r="E16" s="554"/>
      <c r="F16" s="554"/>
      <c r="G16" s="554"/>
      <c r="H16" s="554"/>
      <c r="I16" s="554"/>
      <c r="J16" s="554"/>
      <c r="K16" s="559"/>
      <c r="L16" s="558"/>
      <c r="M16" s="558"/>
      <c r="N16" s="558"/>
      <c r="O16" s="558"/>
      <c r="P16" s="558"/>
      <c r="Q16" s="558"/>
      <c r="R16" s="558"/>
      <c r="S16" s="558"/>
      <c r="T16" s="558"/>
      <c r="U16" s="558"/>
      <c r="V16" s="558"/>
    </row>
    <row r="17" spans="1:22" s="557" customFormat="1" x14ac:dyDescent="0.2">
      <c r="A17" s="562"/>
      <c r="B17" s="607" t="s">
        <v>74</v>
      </c>
      <c r="C17" s="560"/>
      <c r="D17" s="554">
        <v>223.3</v>
      </c>
      <c r="E17" s="554">
        <f>+E22-E12</f>
        <v>203.20000000000002</v>
      </c>
      <c r="F17" s="554">
        <f>+F22-F12</f>
        <v>196.8</v>
      </c>
      <c r="G17" s="554">
        <f>+G22-G12</f>
        <v>175.7</v>
      </c>
      <c r="H17" s="554">
        <f>+H22-H12</f>
        <v>164.7</v>
      </c>
      <c r="I17" s="554">
        <v>154.4</v>
      </c>
      <c r="J17" s="554">
        <f>243.2-J12</f>
        <v>144.79999999999998</v>
      </c>
      <c r="K17" s="559">
        <f>237.4-K12</f>
        <v>135.80000000000001</v>
      </c>
      <c r="L17" s="558">
        <f>+K17*(1+L18)</f>
        <v>127.652</v>
      </c>
      <c r="M17" s="558">
        <f>+L17*(1+M18)</f>
        <v>119.99288</v>
      </c>
      <c r="N17" s="558">
        <f>+M17*(1+N18)</f>
        <v>112.79330719999999</v>
      </c>
      <c r="O17" s="558">
        <f>+N17*(1+O18)</f>
        <v>106.02570876799999</v>
      </c>
      <c r="P17" s="558">
        <f>+O17*(1+P18)</f>
        <v>99.664166241919986</v>
      </c>
      <c r="Q17" s="558">
        <f>(+P17*4)*(1+Q18)</f>
        <v>302.97906537543679</v>
      </c>
      <c r="R17" s="558">
        <f>+Q17*(1+R18)</f>
        <v>230.26408968533195</v>
      </c>
      <c r="S17" s="558">
        <f>+R17*(1+S18)</f>
        <v>175.0007081608523</v>
      </c>
      <c r="T17" s="558">
        <f>+S17*(1+T18)</f>
        <v>133.00053820224775</v>
      </c>
      <c r="U17" s="558">
        <f>+T17*(1+U18)</f>
        <v>101.08040903370829</v>
      </c>
      <c r="V17" s="558">
        <f>+U17*(1+V18)</f>
        <v>101.08040903370829</v>
      </c>
    </row>
    <row r="18" spans="1:22" s="557" customFormat="1" x14ac:dyDescent="0.2">
      <c r="A18" s="562"/>
      <c r="B18" s="595" t="s">
        <v>79</v>
      </c>
      <c r="C18" s="560"/>
      <c r="D18" s="554"/>
      <c r="E18" s="606">
        <f>(+E17-D17)/D17</f>
        <v>-9.001343484102102E-2</v>
      </c>
      <c r="F18" s="606">
        <f>(+F17-E17)/E17</f>
        <v>-3.1496062992126012E-2</v>
      </c>
      <c r="G18" s="606">
        <f>(+G17-F17)/F17</f>
        <v>-0.10721544715447165</v>
      </c>
      <c r="H18" s="606">
        <f>(+H17-G17)/G17</f>
        <v>-6.2606715993170178E-2</v>
      </c>
      <c r="I18" s="606">
        <f>(+I17-H17)/H17</f>
        <v>-6.2537947783849329E-2</v>
      </c>
      <c r="J18" s="606">
        <f>(+J17-I17)/I17</f>
        <v>-6.2176165803108953E-2</v>
      </c>
      <c r="K18" s="605">
        <f>(+K17-J17)/J17</f>
        <v>-6.2154696132596499E-2</v>
      </c>
      <c r="L18" s="604">
        <f>+L6</f>
        <v>-0.06</v>
      </c>
      <c r="M18" s="604">
        <f>+M6</f>
        <v>-0.06</v>
      </c>
      <c r="N18" s="604">
        <f>+N6</f>
        <v>-0.06</v>
      </c>
      <c r="O18" s="604">
        <f>+O6</f>
        <v>-0.06</v>
      </c>
      <c r="P18" s="604">
        <f>+P6</f>
        <v>-0.06</v>
      </c>
      <c r="Q18" s="604">
        <f>+Q6</f>
        <v>-0.24</v>
      </c>
      <c r="R18" s="604">
        <f>+R6</f>
        <v>-0.24</v>
      </c>
      <c r="S18" s="604">
        <f>+S6</f>
        <v>-0.24</v>
      </c>
      <c r="T18" s="604">
        <f>+T6</f>
        <v>-0.24</v>
      </c>
      <c r="U18" s="604">
        <f>+U6</f>
        <v>-0.24</v>
      </c>
      <c r="V18" s="604">
        <f>+V6</f>
        <v>0</v>
      </c>
    </row>
    <row r="19" spans="1:22" s="598" customFormat="1" x14ac:dyDescent="0.2">
      <c r="A19" s="603"/>
      <c r="B19" s="602" t="s">
        <v>122</v>
      </c>
      <c r="C19" s="601"/>
      <c r="D19" s="599">
        <v>0.5</v>
      </c>
      <c r="E19" s="599">
        <f>+E20/E17</f>
        <v>0.54940944881889753</v>
      </c>
      <c r="F19" s="599">
        <f>+F20/F17</f>
        <v>0.55548780487804872</v>
      </c>
      <c r="G19" s="599">
        <f>+G20/G17</f>
        <v>0.55913488901536723</v>
      </c>
      <c r="H19" s="599">
        <f>+H20/H17</f>
        <v>0.55979659987856722</v>
      </c>
      <c r="I19" s="599">
        <f>+I20/I17</f>
        <v>0.4726230569948186</v>
      </c>
      <c r="J19" s="599">
        <v>0.45500000000000002</v>
      </c>
      <c r="K19" s="600">
        <v>0.438</v>
      </c>
      <c r="L19" s="599">
        <v>0.43</v>
      </c>
      <c r="M19" s="599">
        <v>0.43</v>
      </c>
      <c r="N19" s="599">
        <v>0.43</v>
      </c>
      <c r="O19" s="599">
        <v>0.43</v>
      </c>
      <c r="P19" s="599">
        <v>0.43</v>
      </c>
      <c r="Q19" s="599">
        <v>0.43</v>
      </c>
      <c r="R19" s="599">
        <v>0.43</v>
      </c>
      <c r="S19" s="599">
        <v>0.43</v>
      </c>
      <c r="T19" s="599">
        <v>0.43</v>
      </c>
      <c r="U19" s="599">
        <v>0.43</v>
      </c>
      <c r="V19" s="599">
        <v>0.53</v>
      </c>
    </row>
    <row r="20" spans="1:22" s="557" customFormat="1" x14ac:dyDescent="0.2">
      <c r="A20" s="562"/>
      <c r="B20" s="563" t="s">
        <v>77</v>
      </c>
      <c r="C20" s="560"/>
      <c r="D20" s="596">
        <f>+D17*D19</f>
        <v>111.65</v>
      </c>
      <c r="E20" s="596">
        <f>+E23-E15</f>
        <v>111.63999999999999</v>
      </c>
      <c r="F20" s="596">
        <f>+F23-F15</f>
        <v>109.32</v>
      </c>
      <c r="G20" s="596">
        <f>+G23-G15</f>
        <v>98.240000000000009</v>
      </c>
      <c r="H20" s="596">
        <f>+H23-H15</f>
        <v>92.19850000000001</v>
      </c>
      <c r="I20" s="596">
        <f>+I23-I15</f>
        <v>72.972999999999999</v>
      </c>
      <c r="J20" s="596">
        <f>+J17*J19</f>
        <v>65.884</v>
      </c>
      <c r="K20" s="597">
        <f>+K17*K19</f>
        <v>59.480400000000003</v>
      </c>
      <c r="L20" s="596">
        <f>+L17*L19</f>
        <v>54.890360000000001</v>
      </c>
      <c r="M20" s="596">
        <f>+M17*M19</f>
        <v>51.596938399999999</v>
      </c>
      <c r="N20" s="596">
        <f>+N17*N19</f>
        <v>48.501122095999996</v>
      </c>
      <c r="O20" s="596">
        <f>+O17*O19</f>
        <v>45.591054770239992</v>
      </c>
      <c r="P20" s="596">
        <f>+P17*P19</f>
        <v>42.855591484025595</v>
      </c>
      <c r="Q20" s="596">
        <f>+Q17*Q19</f>
        <v>130.28099811143781</v>
      </c>
      <c r="R20" s="596">
        <f>+R17*R19</f>
        <v>99.013558564692744</v>
      </c>
      <c r="S20" s="596">
        <f>+S17*S19</f>
        <v>75.250304509166483</v>
      </c>
      <c r="T20" s="596">
        <f>+T17*T19</f>
        <v>57.190231426966534</v>
      </c>
      <c r="U20" s="596">
        <f>+U17*U19</f>
        <v>43.464575884494565</v>
      </c>
      <c r="V20" s="596">
        <f>+V17*V19</f>
        <v>53.5726167878654</v>
      </c>
    </row>
    <row r="21" spans="1:22" s="557" customFormat="1" x14ac:dyDescent="0.2">
      <c r="A21" s="562"/>
      <c r="B21" s="595"/>
      <c r="C21" s="560"/>
      <c r="D21" s="564"/>
      <c r="E21" s="564"/>
      <c r="F21" s="564"/>
      <c r="G21" s="564"/>
      <c r="H21" s="564"/>
      <c r="I21" s="564"/>
      <c r="J21" s="564"/>
      <c r="K21" s="565"/>
      <c r="L21" s="564"/>
      <c r="M21" s="564"/>
      <c r="N21" s="564"/>
      <c r="O21" s="564"/>
      <c r="P21" s="564"/>
      <c r="Q21" s="564"/>
      <c r="R21" s="564"/>
      <c r="S21" s="564"/>
      <c r="T21" s="564"/>
      <c r="U21" s="564"/>
      <c r="V21" s="564"/>
    </row>
    <row r="22" spans="1:22" s="557" customFormat="1" x14ac:dyDescent="0.2">
      <c r="A22" s="562"/>
      <c r="B22" s="595" t="s">
        <v>80</v>
      </c>
      <c r="C22" s="560"/>
      <c r="D22" s="554">
        <f>+D12+D17</f>
        <v>313.3</v>
      </c>
      <c r="E22" s="554">
        <v>289.10000000000002</v>
      </c>
      <c r="F22" s="554">
        <v>286.5</v>
      </c>
      <c r="G22" s="554">
        <v>267.7</v>
      </c>
      <c r="H22" s="554">
        <v>264.39999999999998</v>
      </c>
      <c r="I22" s="554">
        <f>+I12+I17</f>
        <v>253.3</v>
      </c>
      <c r="J22" s="554">
        <f>+J12+J17</f>
        <v>243.2</v>
      </c>
      <c r="K22" s="559">
        <f>+K12+K17</f>
        <v>237.4</v>
      </c>
      <c r="L22" s="558">
        <f>+L12+L17</f>
        <v>231.79199999999997</v>
      </c>
      <c r="M22" s="558">
        <f>+M12+M17</f>
        <v>226.73638</v>
      </c>
      <c r="N22" s="558">
        <f>+N12+N17</f>
        <v>222.20539469999994</v>
      </c>
      <c r="O22" s="558">
        <f>+O12+O17</f>
        <v>218.17309845549994</v>
      </c>
      <c r="P22" s="558">
        <f>+P12+P17</f>
        <v>214.61524067160741</v>
      </c>
      <c r="Q22" s="558">
        <f>+Q12+Q17</f>
        <v>831.75400775199898</v>
      </c>
      <c r="R22" s="558">
        <f>+R12+R17</f>
        <v>838.35527341837837</v>
      </c>
      <c r="S22" s="558">
        <f>+S12+S17</f>
        <v>874.3055694538557</v>
      </c>
      <c r="T22" s="558">
        <f>+T12+T17</f>
        <v>937.20112868920148</v>
      </c>
      <c r="U22" s="558">
        <f>+U12+U17</f>
        <v>1025.9110880937051</v>
      </c>
      <c r="V22" s="558">
        <f>+V12+V17</f>
        <v>1164.6356899527043</v>
      </c>
    </row>
    <row r="23" spans="1:22" s="563" customFormat="1" ht="13.5" thickBot="1" x14ac:dyDescent="0.25">
      <c r="A23" s="527" t="s">
        <v>15</v>
      </c>
      <c r="B23" s="527" t="s">
        <v>112</v>
      </c>
      <c r="C23" s="584"/>
      <c r="D23" s="592">
        <f>+D15+D20</f>
        <v>147.11000000000001</v>
      </c>
      <c r="E23" s="592">
        <v>146</v>
      </c>
      <c r="F23" s="592">
        <v>145.19999999999999</v>
      </c>
      <c r="G23" s="592">
        <v>137.80000000000001</v>
      </c>
      <c r="H23" s="592">
        <v>141.55000000000001</v>
      </c>
      <c r="I23" s="592">
        <v>115.5</v>
      </c>
      <c r="J23" s="592">
        <f>+J15+J20</f>
        <v>107.212</v>
      </c>
      <c r="K23" s="593">
        <f>+K15+K20</f>
        <v>102.05080000000001</v>
      </c>
      <c r="L23" s="592">
        <f>+L15+L20</f>
        <v>98.629159999999985</v>
      </c>
      <c r="M23" s="592">
        <f>+M15+M20</f>
        <v>96.429208399999993</v>
      </c>
      <c r="N23" s="592">
        <f>+N15+N20</f>
        <v>94.454198845999983</v>
      </c>
      <c r="O23" s="592">
        <f>+O15+O20</f>
        <v>92.692958438989962</v>
      </c>
      <c r="P23" s="592">
        <f>+P15+P20</f>
        <v>91.135042744494314</v>
      </c>
      <c r="Q23" s="592">
        <f>+Q15+Q20</f>
        <v>352.36647390959394</v>
      </c>
      <c r="R23" s="592">
        <f>+R15+R20</f>
        <v>354.41185573257223</v>
      </c>
      <c r="S23" s="592">
        <f>+S15+S20</f>
        <v>368.9583462522279</v>
      </c>
      <c r="T23" s="592">
        <f>+T15+T20</f>
        <v>394.95447943148707</v>
      </c>
      <c r="U23" s="592">
        <f>+U15+U20</f>
        <v>431.89346108969312</v>
      </c>
      <c r="V23" s="592">
        <f>+V15+V20</f>
        <v>500.26583477384372</v>
      </c>
    </row>
    <row r="24" spans="1:22" s="563" customFormat="1" ht="13.5" thickTop="1" x14ac:dyDescent="0.2">
      <c r="A24" s="527"/>
      <c r="B24" s="563" t="s">
        <v>81</v>
      </c>
      <c r="C24" s="584" t="s">
        <v>125</v>
      </c>
      <c r="D24" s="591">
        <f>+D23/D22</f>
        <v>0.46954995212256628</v>
      </c>
      <c r="E24" s="586">
        <f>+E23/E22</f>
        <v>0.50501556554825311</v>
      </c>
      <c r="F24" s="586">
        <f>+F23/F22</f>
        <v>0.50680628272251305</v>
      </c>
      <c r="G24" s="586">
        <f>+G23/G22</f>
        <v>0.51475532312289884</v>
      </c>
      <c r="H24" s="586">
        <f>+H23/H22</f>
        <v>0.53536308623298046</v>
      </c>
      <c r="I24" s="590">
        <f>+I23/I22</f>
        <v>0.45598105013817608</v>
      </c>
      <c r="J24" s="590">
        <f>+J23/J22</f>
        <v>0.4408388157894737</v>
      </c>
      <c r="K24" s="589">
        <f>+K23/K22</f>
        <v>0.42986857624262853</v>
      </c>
      <c r="L24" s="590">
        <f>+L23/L22</f>
        <v>0.42550717885000344</v>
      </c>
      <c r="M24" s="588">
        <f>+M23/M22</f>
        <v>0.42529217587402601</v>
      </c>
      <c r="N24" s="588">
        <f>+N23/N22</f>
        <v>0.42507608320456319</v>
      </c>
      <c r="O24" s="588">
        <f>+O23/O22</f>
        <v>0.42485970587201538</v>
      </c>
      <c r="P24" s="588">
        <f>+P23/P22</f>
        <v>0.42464385315460523</v>
      </c>
      <c r="Q24" s="587">
        <f>+Q23/Q22</f>
        <v>0.42364265230526876</v>
      </c>
      <c r="R24" s="586">
        <f>+R23/R22</f>
        <v>0.42274661706064581</v>
      </c>
      <c r="S24" s="587">
        <f>+S23/S22</f>
        <v>0.42200159663022813</v>
      </c>
      <c r="T24" s="586">
        <f>+T23/T22</f>
        <v>0.42141912481889843</v>
      </c>
      <c r="U24" s="587">
        <f>+U23/U22</f>
        <v>0.42098527455455736</v>
      </c>
      <c r="V24" s="586">
        <f>+V23/V22</f>
        <v>0.4295470584403604</v>
      </c>
    </row>
    <row r="25" spans="1:22" s="557" customFormat="1" x14ac:dyDescent="0.2">
      <c r="A25" s="562"/>
      <c r="B25" s="585"/>
      <c r="C25" s="560"/>
      <c r="D25" s="580"/>
      <c r="E25" s="580"/>
      <c r="F25" s="580"/>
      <c r="G25" s="580"/>
      <c r="H25" s="580"/>
      <c r="I25" s="580"/>
      <c r="J25" s="580"/>
      <c r="K25" s="611"/>
    </row>
    <row r="26" spans="1:22" s="563" customFormat="1" x14ac:dyDescent="0.2">
      <c r="A26" s="527"/>
      <c r="B26" s="567"/>
      <c r="C26" s="584"/>
      <c r="D26" s="564"/>
      <c r="E26" s="564"/>
      <c r="F26" s="564"/>
      <c r="G26" s="564"/>
      <c r="H26" s="564"/>
      <c r="I26" s="564"/>
      <c r="J26" s="564"/>
      <c r="K26" s="565"/>
      <c r="L26" s="564"/>
      <c r="M26" s="564"/>
      <c r="N26" s="564"/>
      <c r="O26" s="564"/>
      <c r="P26" s="564"/>
      <c r="Q26" s="564"/>
      <c r="R26" s="564"/>
      <c r="S26" s="564"/>
      <c r="T26" s="564"/>
      <c r="U26" s="564"/>
      <c r="V26" s="564"/>
    </row>
    <row r="27" spans="1:22" s="557" customFormat="1" x14ac:dyDescent="0.2">
      <c r="A27" s="562"/>
      <c r="B27" s="583" t="s">
        <v>47</v>
      </c>
      <c r="C27" s="580"/>
      <c r="D27" s="554"/>
      <c r="E27" s="554"/>
      <c r="F27" s="554"/>
      <c r="G27" s="554"/>
      <c r="H27" s="554"/>
      <c r="I27" s="554"/>
      <c r="J27" s="554"/>
      <c r="K27" s="559"/>
      <c r="L27" s="558"/>
      <c r="M27" s="558"/>
      <c r="N27" s="558"/>
      <c r="O27" s="558"/>
      <c r="P27" s="558"/>
      <c r="Q27" s="558"/>
      <c r="R27" s="558"/>
      <c r="S27" s="558"/>
      <c r="T27" s="558"/>
      <c r="U27" s="558"/>
      <c r="V27" s="558"/>
    </row>
    <row r="28" spans="1:22" s="557" customFormat="1" x14ac:dyDescent="0.2">
      <c r="A28" s="562"/>
      <c r="B28" s="567" t="s">
        <v>17</v>
      </c>
      <c r="C28" s="580"/>
      <c r="D28" s="554"/>
      <c r="E28" s="554"/>
      <c r="F28" s="554"/>
      <c r="G28" s="554"/>
      <c r="H28" s="554"/>
      <c r="I28" s="554"/>
      <c r="J28" s="554"/>
      <c r="K28" s="559"/>
      <c r="L28" s="558"/>
      <c r="M28" s="558"/>
      <c r="N28" s="558"/>
      <c r="O28" s="558"/>
      <c r="P28" s="558"/>
      <c r="Q28" s="558"/>
      <c r="R28" s="558"/>
      <c r="S28" s="558"/>
      <c r="T28" s="558"/>
      <c r="U28" s="558"/>
      <c r="V28" s="558"/>
    </row>
    <row r="29" spans="1:22" s="557" customFormat="1" x14ac:dyDescent="0.2">
      <c r="A29" s="562"/>
      <c r="B29" s="553" t="s">
        <v>89</v>
      </c>
      <c r="C29" s="580"/>
      <c r="D29" s="554">
        <v>3.3250000000000002</v>
      </c>
      <c r="E29" s="554">
        <v>2.0699999999999998</v>
      </c>
      <c r="F29" s="554">
        <v>1.7825</v>
      </c>
      <c r="G29" s="554">
        <v>1.4950000000000001</v>
      </c>
      <c r="H29" s="554">
        <v>1.2075</v>
      </c>
      <c r="I29" s="554"/>
      <c r="J29" s="554"/>
      <c r="K29" s="559"/>
      <c r="L29" s="558"/>
      <c r="M29" s="558"/>
      <c r="N29" s="558"/>
      <c r="O29" s="558"/>
      <c r="P29" s="558"/>
      <c r="Q29" s="558"/>
      <c r="R29" s="558"/>
      <c r="S29" s="558"/>
      <c r="T29" s="558"/>
      <c r="U29" s="558"/>
      <c r="V29" s="558"/>
    </row>
    <row r="30" spans="1:22" s="557" customFormat="1" x14ac:dyDescent="0.2">
      <c r="A30" s="562"/>
      <c r="B30" s="553" t="s">
        <v>90</v>
      </c>
      <c r="C30" s="580"/>
      <c r="D30" s="554"/>
      <c r="E30" s="554">
        <v>2.629</v>
      </c>
      <c r="F30" s="554">
        <v>2.629</v>
      </c>
      <c r="G30" s="554">
        <v>2.629</v>
      </c>
      <c r="H30" s="554">
        <v>2.629</v>
      </c>
      <c r="I30" s="554"/>
      <c r="J30" s="554"/>
      <c r="K30" s="559"/>
      <c r="L30" s="558"/>
      <c r="M30" s="558"/>
      <c r="N30" s="558"/>
      <c r="O30" s="558"/>
      <c r="P30" s="558"/>
      <c r="Q30" s="558"/>
      <c r="R30" s="558"/>
      <c r="S30" s="558"/>
      <c r="T30" s="558"/>
      <c r="U30" s="558"/>
      <c r="V30" s="558"/>
    </row>
    <row r="31" spans="1:22" s="557" customFormat="1" x14ac:dyDescent="0.2">
      <c r="A31" s="562"/>
      <c r="B31" s="553" t="s">
        <v>25</v>
      </c>
      <c r="C31" s="582"/>
      <c r="D31" s="554">
        <v>0</v>
      </c>
      <c r="E31" s="554">
        <v>0</v>
      </c>
      <c r="F31" s="554"/>
      <c r="G31" s="554"/>
      <c r="H31" s="554"/>
      <c r="I31" s="554"/>
      <c r="J31" s="554"/>
      <c r="K31" s="559"/>
      <c r="L31" s="558"/>
      <c r="M31" s="558"/>
      <c r="N31" s="558"/>
      <c r="O31" s="558"/>
      <c r="P31" s="558"/>
      <c r="Q31" s="558"/>
      <c r="R31" s="558"/>
      <c r="S31" s="558"/>
      <c r="T31" s="558"/>
      <c r="U31" s="558"/>
      <c r="V31" s="558"/>
    </row>
    <row r="32" spans="1:22" s="557" customFormat="1" x14ac:dyDescent="0.2">
      <c r="A32" s="562"/>
      <c r="B32" s="553" t="s">
        <v>34</v>
      </c>
      <c r="C32" s="580"/>
      <c r="D32" s="554">
        <v>2.875</v>
      </c>
      <c r="E32" s="554">
        <v>2.875</v>
      </c>
      <c r="F32" s="554">
        <v>2.875</v>
      </c>
      <c r="G32" s="554">
        <v>2.875</v>
      </c>
      <c r="H32" s="554">
        <v>2.875</v>
      </c>
      <c r="I32" s="554"/>
      <c r="J32" s="554"/>
      <c r="K32" s="559"/>
      <c r="L32" s="558"/>
      <c r="M32" s="558"/>
      <c r="N32" s="558"/>
      <c r="O32" s="558"/>
      <c r="P32" s="558"/>
      <c r="Q32" s="558"/>
      <c r="R32" s="558"/>
      <c r="S32" s="558"/>
      <c r="T32" s="558"/>
      <c r="U32" s="558"/>
      <c r="V32" s="558"/>
    </row>
    <row r="33" spans="1:22" s="557" customFormat="1" x14ac:dyDescent="0.2">
      <c r="A33" s="562"/>
      <c r="B33" s="541" t="s">
        <v>14</v>
      </c>
      <c r="C33" s="580"/>
      <c r="D33" s="554">
        <v>29.359500000000001</v>
      </c>
      <c r="E33" s="554">
        <v>25.359500000000001</v>
      </c>
      <c r="F33" s="554">
        <v>19.759499999999999</v>
      </c>
      <c r="G33" s="554">
        <v>27.929500000000001</v>
      </c>
      <c r="H33" s="554">
        <v>22.459499999999998</v>
      </c>
      <c r="I33" s="554"/>
      <c r="J33" s="554"/>
      <c r="K33" s="559"/>
      <c r="L33" s="558"/>
      <c r="M33" s="558"/>
      <c r="N33" s="558"/>
      <c r="O33" s="558"/>
      <c r="P33" s="558"/>
      <c r="Q33" s="558"/>
      <c r="R33" s="558"/>
      <c r="S33" s="558"/>
      <c r="T33" s="558"/>
      <c r="U33" s="558"/>
      <c r="V33" s="558"/>
    </row>
    <row r="34" spans="1:22" s="557" customFormat="1" x14ac:dyDescent="0.2">
      <c r="A34" s="562"/>
      <c r="B34" s="541"/>
      <c r="C34" s="580"/>
      <c r="D34" s="554"/>
      <c r="E34" s="554"/>
      <c r="F34" s="554"/>
      <c r="G34" s="554"/>
      <c r="H34" s="554"/>
      <c r="I34" s="554"/>
      <c r="J34" s="554"/>
      <c r="K34" s="559"/>
      <c r="L34" s="558"/>
      <c r="M34" s="558"/>
      <c r="N34" s="558"/>
      <c r="O34" s="558"/>
      <c r="P34" s="558"/>
      <c r="Q34" s="558"/>
      <c r="R34" s="558"/>
      <c r="S34" s="558"/>
      <c r="T34" s="558"/>
      <c r="U34" s="558"/>
      <c r="V34" s="558"/>
    </row>
    <row r="35" spans="1:22" s="557" customFormat="1" x14ac:dyDescent="0.2">
      <c r="A35" s="562"/>
      <c r="B35" s="541" t="s">
        <v>134</v>
      </c>
      <c r="C35" s="580"/>
      <c r="D35" s="554"/>
      <c r="E35" s="554"/>
      <c r="F35" s="554"/>
      <c r="G35" s="554"/>
      <c r="H35" s="554"/>
      <c r="I35" s="554">
        <f>14-I36</f>
        <v>14</v>
      </c>
      <c r="J35" s="554">
        <f>22.4-J36</f>
        <v>18.119999999999997</v>
      </c>
      <c r="K35" s="559">
        <f>(+J81-107.5)*(0.0925/4)</f>
        <v>17.889500000000002</v>
      </c>
      <c r="L35" s="558">
        <f>(+K81-107.5)*(0.0925/4)</f>
        <v>17.6975625</v>
      </c>
      <c r="M35" s="558">
        <f>(+L81-107.5)*(0.0925/4)</f>
        <v>14.938750000000002</v>
      </c>
      <c r="N35" s="558">
        <f>(+M81-107.5)*(0.0925/4)</f>
        <v>14.938750000000002</v>
      </c>
      <c r="O35" s="558">
        <f>(+N81-107.5)*(0.0925/4)</f>
        <v>13.263308092984378</v>
      </c>
      <c r="P35" s="558">
        <f>(+O81-107.5)*(0.0925/4)</f>
        <v>13.263308092984378</v>
      </c>
      <c r="Q35" s="558">
        <f>(+P81-107.5)*(0.0925)</f>
        <v>47.179591115492123</v>
      </c>
      <c r="R35" s="558">
        <f>(+Q81-107.5)*(0.0925)</f>
        <v>36.43931253436908</v>
      </c>
      <c r="S35" s="558">
        <f>(+R81-107.5)*(0.0925)</f>
        <v>26.477972540528267</v>
      </c>
      <c r="T35" s="558">
        <f>(+S81-107.5)*(0.0925)</f>
        <v>-0.68737264384707497</v>
      </c>
      <c r="U35" s="558"/>
      <c r="V35" s="558"/>
    </row>
    <row r="36" spans="1:22" s="557" customFormat="1" x14ac:dyDescent="0.2">
      <c r="A36" s="562"/>
      <c r="B36" s="541" t="s">
        <v>135</v>
      </c>
      <c r="C36" s="580"/>
      <c r="D36" s="554"/>
      <c r="E36" s="554"/>
      <c r="F36" s="554"/>
      <c r="G36" s="554"/>
      <c r="H36" s="554"/>
      <c r="I36" s="554"/>
      <c r="J36" s="554">
        <f>107*0.04</f>
        <v>4.28</v>
      </c>
      <c r="K36" s="559"/>
      <c r="L36" s="558">
        <f>107*0.04</f>
        <v>4.28</v>
      </c>
      <c r="M36" s="558"/>
      <c r="N36" s="558">
        <f>107*0.04</f>
        <v>4.28</v>
      </c>
      <c r="O36" s="558"/>
      <c r="P36" s="558">
        <f>+N36</f>
        <v>4.28</v>
      </c>
      <c r="Q36" s="558">
        <f>107.5*0.08</f>
        <v>8.6</v>
      </c>
      <c r="R36" s="558">
        <f>107.5*0.08</f>
        <v>8.6</v>
      </c>
      <c r="S36" s="558">
        <f>107.5*0.08</f>
        <v>8.6</v>
      </c>
      <c r="T36" s="558">
        <f>107.5*0.08</f>
        <v>8.6</v>
      </c>
      <c r="U36" s="558">
        <f>107.5*0.08</f>
        <v>8.6</v>
      </c>
      <c r="V36" s="558">
        <f>107.5*0.08</f>
        <v>8.6</v>
      </c>
    </row>
    <row r="37" spans="1:22" s="557" customFormat="1" x14ac:dyDescent="0.2">
      <c r="A37" s="562"/>
      <c r="B37" s="541"/>
      <c r="C37" s="580"/>
      <c r="D37" s="554"/>
      <c r="E37" s="554"/>
      <c r="F37" s="554"/>
      <c r="G37" s="554"/>
      <c r="H37" s="554"/>
      <c r="I37" s="554"/>
      <c r="J37" s="554"/>
      <c r="K37" s="559"/>
      <c r="L37" s="558"/>
      <c r="M37" s="558"/>
      <c r="N37" s="558"/>
      <c r="O37" s="558"/>
      <c r="P37" s="558"/>
      <c r="Q37" s="558"/>
      <c r="R37" s="558"/>
      <c r="S37" s="558"/>
      <c r="T37" s="558"/>
      <c r="U37" s="558"/>
      <c r="V37" s="558"/>
    </row>
    <row r="38" spans="1:22" s="557" customFormat="1" x14ac:dyDescent="0.2">
      <c r="A38" s="562" t="s">
        <v>119</v>
      </c>
      <c r="B38" s="541" t="s">
        <v>115</v>
      </c>
      <c r="C38" s="580"/>
      <c r="D38" s="554"/>
      <c r="E38" s="554">
        <v>1.9</v>
      </c>
      <c r="F38" s="554">
        <f>7.4-E38</f>
        <v>5.5</v>
      </c>
      <c r="G38" s="554"/>
      <c r="H38" s="554">
        <v>17.899999999999999</v>
      </c>
      <c r="I38" s="554">
        <f>5.6+0.15</f>
        <v>5.75</v>
      </c>
      <c r="J38" s="554">
        <v>0</v>
      </c>
      <c r="K38" s="559"/>
      <c r="L38" s="558"/>
      <c r="M38" s="558"/>
      <c r="N38" s="558"/>
      <c r="O38" s="558"/>
      <c r="P38" s="558"/>
      <c r="Q38" s="558"/>
      <c r="R38" s="558"/>
      <c r="S38" s="558"/>
      <c r="T38" s="558"/>
      <c r="U38" s="558"/>
      <c r="V38" s="558"/>
    </row>
    <row r="39" spans="1:22" s="557" customFormat="1" x14ac:dyDescent="0.2">
      <c r="A39" s="562"/>
      <c r="B39" s="567"/>
      <c r="C39" s="580"/>
      <c r="D39" s="554"/>
      <c r="E39" s="554"/>
      <c r="F39" s="554"/>
      <c r="G39" s="554"/>
      <c r="H39" s="554"/>
      <c r="I39" s="554"/>
      <c r="J39" s="554"/>
      <c r="K39" s="559"/>
      <c r="L39" s="558"/>
      <c r="M39" s="558"/>
      <c r="N39" s="558"/>
      <c r="O39" s="558"/>
      <c r="P39" s="558"/>
      <c r="Q39" s="558"/>
      <c r="R39" s="558"/>
      <c r="S39" s="558"/>
      <c r="T39" s="558"/>
      <c r="U39" s="558"/>
      <c r="V39" s="558"/>
    </row>
    <row r="40" spans="1:22" s="557" customFormat="1" x14ac:dyDescent="0.2">
      <c r="A40" s="562"/>
      <c r="B40" s="567" t="s">
        <v>117</v>
      </c>
      <c r="C40" s="580"/>
      <c r="D40" s="554">
        <v>27.3</v>
      </c>
      <c r="E40" s="581">
        <v>29.8</v>
      </c>
      <c r="F40" s="554">
        <v>31.7</v>
      </c>
      <c r="G40" s="554">
        <v>5.6</v>
      </c>
      <c r="H40" s="554">
        <f>63.5-(E40+F40+G40)</f>
        <v>-3.5999999999999943</v>
      </c>
      <c r="I40" s="554">
        <v>16</v>
      </c>
      <c r="J40" s="554">
        <f>21.3-I40</f>
        <v>5.3000000000000007</v>
      </c>
      <c r="K40" s="559">
        <f>19.84-21.3</f>
        <v>-1.4600000000000009</v>
      </c>
      <c r="L40" s="558">
        <f>+K40</f>
        <v>-1.4600000000000009</v>
      </c>
      <c r="M40" s="558">
        <v>20</v>
      </c>
      <c r="N40" s="558">
        <f>+M40</f>
        <v>20</v>
      </c>
      <c r="O40" s="558">
        <f>+N40</f>
        <v>20</v>
      </c>
      <c r="P40" s="558">
        <f>+O40</f>
        <v>20</v>
      </c>
      <c r="Q40" s="558">
        <f>+P40*4</f>
        <v>80</v>
      </c>
      <c r="R40" s="558">
        <f>+Q40</f>
        <v>80</v>
      </c>
      <c r="S40" s="558">
        <f>+R40</f>
        <v>80</v>
      </c>
      <c r="T40" s="558">
        <f>+S40</f>
        <v>80</v>
      </c>
      <c r="U40" s="558">
        <f>+T40</f>
        <v>80</v>
      </c>
      <c r="V40" s="558">
        <f>+U40</f>
        <v>80</v>
      </c>
    </row>
    <row r="41" spans="1:22" s="557" customFormat="1" x14ac:dyDescent="0.2">
      <c r="A41" s="562"/>
      <c r="C41" s="580"/>
      <c r="D41" s="554"/>
      <c r="E41" s="554"/>
      <c r="F41" s="554"/>
      <c r="G41" s="554"/>
      <c r="H41" s="554"/>
      <c r="I41" s="554"/>
      <c r="J41" s="554"/>
      <c r="K41" s="559"/>
      <c r="L41" s="558"/>
      <c r="M41" s="558"/>
      <c r="N41" s="558"/>
      <c r="O41" s="558"/>
      <c r="P41" s="558"/>
      <c r="Q41" s="558"/>
      <c r="R41" s="558"/>
      <c r="S41" s="558"/>
      <c r="T41" s="558"/>
      <c r="U41" s="558"/>
      <c r="V41" s="558"/>
    </row>
    <row r="42" spans="1:22" s="557" customFormat="1" x14ac:dyDescent="0.2">
      <c r="A42" s="562"/>
      <c r="B42" s="567" t="s">
        <v>71</v>
      </c>
      <c r="C42" s="580"/>
      <c r="D42" s="554">
        <v>14.7</v>
      </c>
      <c r="E42" s="554">
        <v>8.1999999999999993</v>
      </c>
      <c r="F42" s="554">
        <f>16.9-E42</f>
        <v>8.6999999999999993</v>
      </c>
      <c r="G42" s="554">
        <f>-SUM(E42:F42)+24.8</f>
        <v>7.9000000000000021</v>
      </c>
      <c r="H42" s="554">
        <v>15.4</v>
      </c>
      <c r="I42" s="554">
        <v>18.7</v>
      </c>
      <c r="J42" s="554">
        <f>40.3-I42</f>
        <v>21.599999999999998</v>
      </c>
      <c r="K42" s="559">
        <f>55.3-40.3</f>
        <v>15</v>
      </c>
      <c r="L42" s="558">
        <f>+K42</f>
        <v>15</v>
      </c>
      <c r="M42" s="558">
        <f>+L42</f>
        <v>15</v>
      </c>
      <c r="N42" s="558">
        <f>+M42</f>
        <v>15</v>
      </c>
      <c r="O42" s="558">
        <f>+N42</f>
        <v>15</v>
      </c>
      <c r="P42" s="558">
        <f>+O42</f>
        <v>15</v>
      </c>
      <c r="Q42" s="558">
        <f>+P42*4</f>
        <v>60</v>
      </c>
      <c r="R42" s="558">
        <f>+Q42</f>
        <v>60</v>
      </c>
      <c r="S42" s="558">
        <f>+R42</f>
        <v>60</v>
      </c>
      <c r="T42" s="558">
        <f>+S42</f>
        <v>60</v>
      </c>
      <c r="U42" s="558">
        <f>+T42</f>
        <v>60</v>
      </c>
      <c r="V42" s="558">
        <f>+U42</f>
        <v>60</v>
      </c>
    </row>
    <row r="43" spans="1:22" s="557" customFormat="1" x14ac:dyDescent="0.2">
      <c r="A43" s="562" t="s">
        <v>119</v>
      </c>
      <c r="B43" s="567" t="s">
        <v>116</v>
      </c>
      <c r="C43" s="580"/>
      <c r="D43" s="554">
        <v>0</v>
      </c>
      <c r="E43" s="554">
        <v>13.036</v>
      </c>
      <c r="F43" s="554">
        <v>0</v>
      </c>
      <c r="G43" s="554">
        <v>3.6</v>
      </c>
      <c r="H43" s="554">
        <f>14.526-E43-F43-G43</f>
        <v>-2.11</v>
      </c>
      <c r="I43" s="554">
        <v>1.8</v>
      </c>
      <c r="J43" s="554">
        <f>3.3-I43</f>
        <v>1.4999999999999998</v>
      </c>
      <c r="K43" s="559">
        <f>4.6-3.3</f>
        <v>1.2999999999999998</v>
      </c>
      <c r="L43" s="558">
        <v>0</v>
      </c>
      <c r="M43" s="577">
        <v>13</v>
      </c>
      <c r="N43" s="558">
        <v>0</v>
      </c>
      <c r="O43" s="558">
        <v>0</v>
      </c>
      <c r="P43" s="558">
        <v>0</v>
      </c>
      <c r="Q43" s="577">
        <v>13</v>
      </c>
      <c r="R43" s="577">
        <v>13</v>
      </c>
      <c r="S43" s="558">
        <v>0</v>
      </c>
      <c r="T43" s="558">
        <v>0</v>
      </c>
      <c r="U43" s="558">
        <v>0</v>
      </c>
      <c r="V43" s="558">
        <v>0</v>
      </c>
    </row>
    <row r="44" spans="1:22" s="557" customFormat="1" x14ac:dyDescent="0.2">
      <c r="A44" s="562" t="s">
        <v>119</v>
      </c>
      <c r="B44" s="567" t="s">
        <v>118</v>
      </c>
      <c r="C44" s="580"/>
      <c r="D44" s="554"/>
      <c r="E44" s="554">
        <f>42.736+(315.3-310.1)</f>
        <v>47.935999999999986</v>
      </c>
      <c r="F44" s="554">
        <f>30.4-E44-0.7</f>
        <v>-18.235999999999986</v>
      </c>
      <c r="G44" s="554">
        <f>-SUM(E44:F44)+43.577</f>
        <v>13.876999999999999</v>
      </c>
      <c r="H44" s="554">
        <f>14.529-E44-F44-G44</f>
        <v>-29.047999999999995</v>
      </c>
      <c r="I44" s="554">
        <v>-12.2</v>
      </c>
      <c r="J44" s="554">
        <f>-24-I44</f>
        <v>-11.8</v>
      </c>
      <c r="K44" s="559">
        <f>-22.9+24</f>
        <v>1.1000000000000014</v>
      </c>
      <c r="L44" s="558"/>
      <c r="M44" s="558"/>
      <c r="N44" s="558"/>
      <c r="O44" s="558"/>
      <c r="P44" s="558"/>
      <c r="Q44" s="558"/>
      <c r="R44" s="558"/>
      <c r="S44" s="558"/>
      <c r="T44" s="558"/>
      <c r="U44" s="558"/>
      <c r="V44" s="558"/>
    </row>
    <row r="45" spans="1:22" s="557" customFormat="1" x14ac:dyDescent="0.2">
      <c r="A45" s="562"/>
      <c r="B45" s="567"/>
      <c r="C45" s="580"/>
      <c r="D45" s="554"/>
      <c r="E45" s="554"/>
      <c r="F45" s="554"/>
      <c r="G45" s="554"/>
      <c r="H45" s="554"/>
      <c r="I45" s="554"/>
      <c r="J45" s="554"/>
      <c r="K45" s="559"/>
      <c r="L45" s="558"/>
      <c r="M45" s="558"/>
      <c r="N45" s="558"/>
      <c r="O45" s="558"/>
      <c r="P45" s="558"/>
      <c r="Q45" s="558"/>
      <c r="R45" s="558"/>
      <c r="S45" s="558"/>
      <c r="T45" s="558"/>
      <c r="U45" s="558"/>
      <c r="V45" s="558"/>
    </row>
    <row r="46" spans="1:22" s="557" customFormat="1" x14ac:dyDescent="0.2">
      <c r="A46" s="562"/>
      <c r="B46" s="567"/>
      <c r="C46" s="580"/>
      <c r="D46" s="554"/>
      <c r="E46" s="554"/>
      <c r="F46" s="554"/>
      <c r="G46" s="554"/>
      <c r="H46" s="554"/>
      <c r="I46" s="554"/>
      <c r="J46" s="554"/>
      <c r="K46" s="559"/>
      <c r="L46" s="558"/>
      <c r="M46" s="558"/>
      <c r="N46" s="558"/>
      <c r="O46" s="558"/>
      <c r="P46" s="558"/>
      <c r="Q46" s="558"/>
      <c r="R46" s="558"/>
      <c r="S46" s="558"/>
      <c r="T46" s="558"/>
      <c r="U46" s="558"/>
      <c r="V46" s="558"/>
    </row>
    <row r="47" spans="1:22" s="557" customFormat="1" x14ac:dyDescent="0.2">
      <c r="A47" s="562"/>
      <c r="B47" s="567" t="s">
        <v>132</v>
      </c>
      <c r="C47" s="580"/>
      <c r="D47" s="554"/>
      <c r="E47" s="554"/>
      <c r="F47" s="554"/>
      <c r="G47" s="554">
        <v>26.8</v>
      </c>
      <c r="H47" s="554">
        <v>-21.2</v>
      </c>
      <c r="I47" s="554">
        <v>6.2</v>
      </c>
      <c r="J47" s="554">
        <v>0</v>
      </c>
      <c r="K47" s="559"/>
      <c r="L47" s="558"/>
      <c r="M47" s="558"/>
      <c r="N47" s="558"/>
      <c r="O47" s="558"/>
      <c r="P47" s="558"/>
      <c r="Q47" s="558"/>
      <c r="R47" s="558"/>
      <c r="S47" s="558"/>
      <c r="T47" s="558"/>
      <c r="U47" s="558"/>
      <c r="V47" s="558"/>
    </row>
    <row r="48" spans="1:22" s="557" customFormat="1" x14ac:dyDescent="0.2">
      <c r="A48" s="562"/>
      <c r="B48" s="567" t="s">
        <v>131</v>
      </c>
      <c r="C48" s="580"/>
      <c r="D48" s="554"/>
      <c r="E48" s="554"/>
      <c r="F48" s="554"/>
      <c r="G48" s="554">
        <v>16.305</v>
      </c>
      <c r="H48" s="554">
        <f>63-G48</f>
        <v>46.695</v>
      </c>
      <c r="I48" s="554">
        <v>4.2</v>
      </c>
      <c r="J48" s="554">
        <v>2.4</v>
      </c>
      <c r="K48" s="559">
        <v>0</v>
      </c>
      <c r="L48" s="558"/>
      <c r="M48" s="558"/>
      <c r="N48" s="558"/>
      <c r="O48" s="558"/>
      <c r="P48" s="558"/>
      <c r="Q48" s="558"/>
      <c r="R48" s="558"/>
      <c r="S48" s="558"/>
      <c r="T48" s="558"/>
      <c r="U48" s="558"/>
      <c r="V48" s="558"/>
    </row>
    <row r="49" spans="1:22" s="557" customFormat="1" x14ac:dyDescent="0.2">
      <c r="A49" s="562"/>
      <c r="B49" s="567" t="s">
        <v>174</v>
      </c>
      <c r="C49" s="580"/>
      <c r="D49" s="554"/>
      <c r="E49" s="554"/>
      <c r="F49" s="554"/>
      <c r="G49" s="554"/>
      <c r="H49" s="554"/>
      <c r="I49" s="554"/>
      <c r="J49" s="554">
        <v>2.4</v>
      </c>
      <c r="K49" s="559">
        <v>0</v>
      </c>
      <c r="L49" s="558"/>
      <c r="M49" s="558"/>
      <c r="N49" s="558"/>
      <c r="O49" s="558"/>
      <c r="P49" s="558"/>
      <c r="Q49" s="558"/>
      <c r="R49" s="558"/>
      <c r="S49" s="558"/>
      <c r="T49" s="558"/>
      <c r="U49" s="558"/>
      <c r="V49" s="558"/>
    </row>
    <row r="50" spans="1:22" s="557" customFormat="1" x14ac:dyDescent="0.2">
      <c r="A50" s="562"/>
      <c r="B50" s="567" t="s">
        <v>102</v>
      </c>
      <c r="C50" s="580"/>
      <c r="D50" s="554">
        <v>2.9</v>
      </c>
      <c r="E50" s="554">
        <v>0</v>
      </c>
      <c r="F50" s="554"/>
      <c r="G50" s="554"/>
      <c r="H50" s="554"/>
      <c r="I50" s="554"/>
      <c r="J50" s="554"/>
      <c r="K50" s="559"/>
      <c r="L50" s="558"/>
      <c r="M50" s="558"/>
      <c r="N50" s="558"/>
      <c r="O50" s="558"/>
      <c r="P50" s="558"/>
      <c r="Q50" s="558"/>
      <c r="R50" s="558"/>
      <c r="S50" s="558"/>
      <c r="T50" s="558"/>
      <c r="U50" s="558"/>
      <c r="V50" s="558"/>
    </row>
    <row r="51" spans="1:22" s="557" customFormat="1" x14ac:dyDescent="0.2">
      <c r="A51" s="562"/>
      <c r="B51" s="557" t="s">
        <v>103</v>
      </c>
      <c r="C51" s="580"/>
      <c r="D51" s="554">
        <v>0.5</v>
      </c>
      <c r="E51" s="554"/>
      <c r="F51" s="554"/>
      <c r="G51" s="554">
        <v>-1.6</v>
      </c>
      <c r="H51" s="554"/>
      <c r="I51" s="564">
        <v>3.2</v>
      </c>
      <c r="J51" s="554">
        <f>6-2.4</f>
        <v>3.6</v>
      </c>
      <c r="K51" s="559">
        <v>4.5</v>
      </c>
      <c r="L51" s="558"/>
      <c r="M51" s="558"/>
      <c r="N51" s="558"/>
      <c r="O51" s="558"/>
      <c r="P51" s="558"/>
      <c r="Q51" s="558"/>
      <c r="R51" s="558"/>
      <c r="S51" s="558"/>
      <c r="T51" s="558"/>
      <c r="U51" s="558"/>
      <c r="V51" s="558"/>
    </row>
    <row r="52" spans="1:22" s="557" customFormat="1" x14ac:dyDescent="0.2">
      <c r="A52" s="562"/>
      <c r="B52" s="567" t="s">
        <v>19</v>
      </c>
      <c r="C52" s="579" t="s">
        <v>107</v>
      </c>
      <c r="D52" s="554">
        <v>10</v>
      </c>
      <c r="E52" s="554">
        <v>0</v>
      </c>
      <c r="F52" s="554">
        <v>0</v>
      </c>
      <c r="G52" s="554">
        <f>+F52</f>
        <v>0</v>
      </c>
      <c r="H52" s="554">
        <f>+G52</f>
        <v>0</v>
      </c>
      <c r="I52" s="554">
        <f>+H52</f>
        <v>0</v>
      </c>
      <c r="J52" s="554">
        <f>+I52</f>
        <v>0</v>
      </c>
      <c r="K52" s="559">
        <f>+J52</f>
        <v>0</v>
      </c>
      <c r="L52" s="558">
        <f>+K52</f>
        <v>0</v>
      </c>
      <c r="M52" s="558">
        <f>+L52</f>
        <v>0</v>
      </c>
      <c r="N52" s="558">
        <f>+M52</f>
        <v>0</v>
      </c>
      <c r="O52" s="558">
        <f>+N52</f>
        <v>0</v>
      </c>
      <c r="P52" s="558">
        <f>+O52</f>
        <v>0</v>
      </c>
      <c r="Q52" s="558">
        <f>+P52*4</f>
        <v>0</v>
      </c>
      <c r="R52" s="558">
        <f>+Q52</f>
        <v>0</v>
      </c>
      <c r="S52" s="558">
        <f>+R52</f>
        <v>0</v>
      </c>
      <c r="T52" s="558">
        <f>+S52</f>
        <v>0</v>
      </c>
      <c r="U52" s="558">
        <f>+T52</f>
        <v>0</v>
      </c>
      <c r="V52" s="558">
        <f>+U52</f>
        <v>0</v>
      </c>
    </row>
    <row r="53" spans="1:22" s="557" customFormat="1" x14ac:dyDescent="0.2">
      <c r="A53" s="562"/>
      <c r="C53" s="579"/>
      <c r="D53" s="575"/>
      <c r="E53" s="575"/>
      <c r="F53" s="575"/>
      <c r="G53" s="575"/>
      <c r="H53" s="575"/>
      <c r="I53" s="575"/>
      <c r="J53" s="575"/>
      <c r="K53" s="576"/>
      <c r="L53" s="575"/>
      <c r="M53" s="575"/>
      <c r="N53" s="575"/>
      <c r="O53" s="575"/>
      <c r="P53" s="575"/>
      <c r="Q53" s="575"/>
      <c r="R53" s="575"/>
      <c r="S53" s="575"/>
      <c r="T53" s="575"/>
      <c r="U53" s="575"/>
      <c r="V53" s="575"/>
    </row>
    <row r="54" spans="1:22" s="563" customFormat="1" x14ac:dyDescent="0.2">
      <c r="A54" s="527" t="s">
        <v>40</v>
      </c>
      <c r="B54" s="567" t="s">
        <v>21</v>
      </c>
      <c r="C54" s="578"/>
      <c r="D54" s="564">
        <f>SUM(D28:D53)</f>
        <v>90.959500000000006</v>
      </c>
      <c r="E54" s="564">
        <f>SUM(E28:E53)</f>
        <v>133.80549999999999</v>
      </c>
      <c r="F54" s="564">
        <f>SUM(F28:F53)</f>
        <v>54.710000000000008</v>
      </c>
      <c r="G54" s="564">
        <f>SUM(G28:G53)</f>
        <v>107.41050000000001</v>
      </c>
      <c r="H54" s="564">
        <f>SUM(H28:H53)</f>
        <v>53.208000000000013</v>
      </c>
      <c r="I54" s="564">
        <f>SUM(I28:I53)</f>
        <v>57.650000000000006</v>
      </c>
      <c r="J54" s="564">
        <f>SUM(J28:J53)</f>
        <v>47.4</v>
      </c>
      <c r="K54" s="565">
        <f>SUM(K28:K53)</f>
        <v>38.329500000000003</v>
      </c>
      <c r="L54" s="577">
        <f>SUM(L28:L53)</f>
        <v>35.517562499999997</v>
      </c>
      <c r="M54" s="577">
        <f>SUM(M28:M53)</f>
        <v>62.938749999999999</v>
      </c>
      <c r="N54" s="577">
        <f>SUM(N28:N53)</f>
        <v>54.21875</v>
      </c>
      <c r="O54" s="577">
        <f>SUM(O28:O53)</f>
        <v>48.263308092984374</v>
      </c>
      <c r="P54" s="577">
        <f>SUM(P28:P53)</f>
        <v>52.543308092984375</v>
      </c>
      <c r="Q54" s="577">
        <f>SUM(Q28:Q53)</f>
        <v>208.77959111549211</v>
      </c>
      <c r="R54" s="577">
        <f>SUM(R28:R53)</f>
        <v>198.03931253436909</v>
      </c>
      <c r="S54" s="577">
        <f>SUM(S28:S53)</f>
        <v>175.07797254052826</v>
      </c>
      <c r="T54" s="577">
        <f>SUM(T28:T53)</f>
        <v>147.91262735615294</v>
      </c>
      <c r="U54" s="577">
        <f>SUM(U28:U53)</f>
        <v>148.6</v>
      </c>
      <c r="V54" s="577">
        <f>SUM(V28:V53)</f>
        <v>148.6</v>
      </c>
    </row>
    <row r="55" spans="1:22" s="563" customFormat="1" x14ac:dyDescent="0.2">
      <c r="A55" s="527"/>
      <c r="B55" s="567"/>
      <c r="C55" s="578"/>
      <c r="D55" s="564"/>
      <c r="E55" s="564"/>
      <c r="F55" s="564"/>
      <c r="G55" s="564"/>
      <c r="H55" s="564"/>
      <c r="I55" s="564"/>
      <c r="J55" s="564"/>
      <c r="K55" s="565"/>
      <c r="L55" s="577"/>
      <c r="M55" s="577"/>
      <c r="N55" s="577"/>
      <c r="O55" s="577"/>
      <c r="P55" s="577"/>
      <c r="Q55" s="577"/>
      <c r="R55" s="577"/>
      <c r="S55" s="577"/>
      <c r="T55" s="577"/>
      <c r="U55" s="577"/>
      <c r="V55" s="577"/>
    </row>
    <row r="56" spans="1:22" s="563" customFormat="1" x14ac:dyDescent="0.2">
      <c r="A56" s="527"/>
      <c r="B56" s="561" t="s">
        <v>35</v>
      </c>
      <c r="C56" s="560"/>
      <c r="D56" s="554">
        <v>52</v>
      </c>
      <c r="E56" s="564"/>
      <c r="F56" s="564"/>
      <c r="G56" s="564"/>
      <c r="H56" s="564">
        <v>-275</v>
      </c>
      <c r="I56" s="564"/>
      <c r="J56" s="564"/>
      <c r="K56" s="565"/>
      <c r="L56" s="577"/>
      <c r="M56" s="577"/>
      <c r="N56" s="577"/>
      <c r="O56" s="577"/>
      <c r="P56" s="577"/>
      <c r="Q56" s="577"/>
      <c r="R56" s="577"/>
      <c r="S56" s="577"/>
      <c r="T56" s="577"/>
      <c r="U56" s="577"/>
      <c r="V56" s="577"/>
    </row>
    <row r="57" spans="1:22" s="557" customFormat="1" x14ac:dyDescent="0.2">
      <c r="A57" s="562"/>
      <c r="B57" s="561" t="s">
        <v>54</v>
      </c>
      <c r="C57" s="560"/>
      <c r="D57" s="554">
        <v>72</v>
      </c>
      <c r="E57" s="554"/>
      <c r="F57" s="575"/>
      <c r="G57" s="554"/>
      <c r="H57" s="575"/>
      <c r="I57" s="554"/>
      <c r="J57" s="554"/>
      <c r="K57" s="576"/>
      <c r="L57" s="575"/>
      <c r="M57" s="575"/>
      <c r="N57" s="575"/>
      <c r="O57" s="575"/>
      <c r="P57" s="575"/>
      <c r="Q57" s="575"/>
      <c r="R57" s="575"/>
      <c r="S57" s="575"/>
      <c r="T57" s="575"/>
      <c r="U57" s="575"/>
      <c r="V57" s="575"/>
    </row>
    <row r="58" spans="1:22" s="563" customFormat="1" ht="13.5" thickBot="1" x14ac:dyDescent="0.25">
      <c r="A58" s="527" t="s">
        <v>41</v>
      </c>
      <c r="B58" s="567" t="s">
        <v>43</v>
      </c>
      <c r="C58" s="566" t="s">
        <v>44</v>
      </c>
      <c r="D58" s="574">
        <f>+D23-D54+D57+D56</f>
        <v>180.15050000000002</v>
      </c>
      <c r="E58" s="568">
        <f>+E23-E54</f>
        <v>12.194500000000005</v>
      </c>
      <c r="F58" s="568">
        <f>+F23-F54</f>
        <v>90.489999999999981</v>
      </c>
      <c r="G58" s="568">
        <f>+G23-G54</f>
        <v>30.389499999999998</v>
      </c>
      <c r="H58" s="568">
        <f>SUM(H54:H57)</f>
        <v>-221.79199999999997</v>
      </c>
      <c r="I58" s="573">
        <f>+I23-I54</f>
        <v>57.849999999999994</v>
      </c>
      <c r="J58" s="573">
        <f>+J23-J54</f>
        <v>59.812000000000005</v>
      </c>
      <c r="K58" s="571">
        <f>+K23-K54</f>
        <v>63.721300000000006</v>
      </c>
      <c r="L58" s="573">
        <f>+L23-L54</f>
        <v>63.111597499999988</v>
      </c>
      <c r="M58" s="570">
        <f>+M23-M54</f>
        <v>33.490458399999994</v>
      </c>
      <c r="N58" s="570">
        <f>+N23-N54</f>
        <v>40.235448845999983</v>
      </c>
      <c r="O58" s="570">
        <f>+O23-O54</f>
        <v>44.429650346005587</v>
      </c>
      <c r="P58" s="570">
        <f>+P23-P54</f>
        <v>38.591734651509938</v>
      </c>
      <c r="Q58" s="569">
        <f>+Q23-Q54</f>
        <v>143.58688279410183</v>
      </c>
      <c r="R58" s="568">
        <f>+R23-R54</f>
        <v>156.37254319820315</v>
      </c>
      <c r="S58" s="569">
        <f>+S23-S54</f>
        <v>193.88037371169963</v>
      </c>
      <c r="T58" s="568">
        <f>+T23-T54</f>
        <v>247.04185207533413</v>
      </c>
      <c r="U58" s="569">
        <f>+U23-U54</f>
        <v>283.2934610896931</v>
      </c>
      <c r="V58" s="568">
        <f>+V23-V54</f>
        <v>351.6658347738437</v>
      </c>
    </row>
    <row r="59" spans="1:22" s="563" customFormat="1" ht="13.5" thickTop="1" x14ac:dyDescent="0.2">
      <c r="A59" s="527"/>
      <c r="B59" s="567"/>
      <c r="C59" s="566"/>
      <c r="D59" s="564"/>
      <c r="E59" s="564"/>
      <c r="F59" s="564"/>
      <c r="G59" s="564"/>
      <c r="H59" s="564"/>
      <c r="I59" s="564"/>
      <c r="J59" s="564"/>
      <c r="K59" s="565"/>
      <c r="L59" s="564"/>
      <c r="M59" s="564"/>
      <c r="N59" s="564"/>
      <c r="O59" s="564"/>
      <c r="P59" s="564"/>
      <c r="Q59" s="564"/>
      <c r="R59" s="564"/>
      <c r="S59" s="564"/>
      <c r="T59" s="564"/>
      <c r="U59" s="564"/>
      <c r="V59" s="564"/>
    </row>
    <row r="60" spans="1:22" s="563" customFormat="1" x14ac:dyDescent="0.2">
      <c r="A60" s="527"/>
      <c r="B60" s="567" t="s">
        <v>136</v>
      </c>
      <c r="C60" s="566"/>
      <c r="D60" s="564"/>
      <c r="E60" s="564"/>
      <c r="F60" s="564"/>
      <c r="G60" s="564"/>
      <c r="H60" s="564">
        <f>-974.2-25</f>
        <v>-999.2</v>
      </c>
      <c r="I60" s="564"/>
      <c r="J60" s="564"/>
      <c r="K60" s="565"/>
      <c r="L60" s="564"/>
      <c r="M60" s="564"/>
      <c r="N60" s="564"/>
      <c r="O60" s="564"/>
      <c r="P60" s="564"/>
      <c r="Q60" s="564"/>
      <c r="R60" s="564"/>
      <c r="S60" s="564"/>
      <c r="T60" s="564"/>
      <c r="U60" s="564"/>
      <c r="V60" s="564"/>
    </row>
    <row r="61" spans="1:22" s="563" customFormat="1" x14ac:dyDescent="0.2">
      <c r="A61" s="527"/>
      <c r="B61" s="567"/>
      <c r="C61" s="566"/>
      <c r="D61" s="564"/>
      <c r="E61" s="564"/>
      <c r="F61" s="564"/>
      <c r="G61" s="564"/>
      <c r="H61" s="564"/>
      <c r="I61" s="564"/>
      <c r="J61" s="564"/>
      <c r="K61" s="565"/>
      <c r="L61" s="564"/>
      <c r="M61" s="564"/>
      <c r="N61" s="564"/>
      <c r="O61" s="564"/>
      <c r="P61" s="564"/>
      <c r="Q61" s="564"/>
      <c r="R61" s="564"/>
      <c r="S61" s="564"/>
      <c r="T61" s="564"/>
      <c r="U61" s="564"/>
      <c r="V61" s="564"/>
    </row>
    <row r="62" spans="1:22" s="563" customFormat="1" x14ac:dyDescent="0.2">
      <c r="A62" s="527"/>
      <c r="B62" s="567"/>
      <c r="C62" s="566"/>
      <c r="D62" s="564"/>
      <c r="E62" s="564"/>
      <c r="F62" s="564"/>
      <c r="G62" s="564"/>
      <c r="H62" s="564"/>
      <c r="I62" s="564"/>
      <c r="J62" s="564"/>
      <c r="K62" s="565"/>
      <c r="L62" s="564"/>
      <c r="M62" s="564"/>
      <c r="N62" s="564"/>
      <c r="O62" s="564"/>
      <c r="P62" s="564"/>
      <c r="Q62" s="564"/>
      <c r="R62" s="564"/>
      <c r="S62" s="564"/>
      <c r="T62" s="564"/>
      <c r="U62" s="564"/>
      <c r="V62" s="564"/>
    </row>
    <row r="63" spans="1:22" s="557" customFormat="1" x14ac:dyDescent="0.2">
      <c r="A63" s="562"/>
      <c r="B63" s="561"/>
      <c r="C63" s="560"/>
      <c r="D63" s="554"/>
      <c r="E63" s="554"/>
      <c r="F63" s="554"/>
      <c r="G63" s="554"/>
      <c r="H63" s="554"/>
      <c r="I63" s="554"/>
      <c r="J63" s="554"/>
      <c r="K63" s="559"/>
      <c r="L63" s="558"/>
      <c r="M63" s="558"/>
      <c r="N63" s="558"/>
      <c r="O63" s="558"/>
      <c r="P63" s="558"/>
      <c r="Q63" s="558"/>
      <c r="R63" s="558"/>
      <c r="S63" s="558"/>
      <c r="T63" s="558"/>
      <c r="U63" s="558"/>
      <c r="V63" s="558"/>
    </row>
    <row r="64" spans="1:22" x14ac:dyDescent="0.2">
      <c r="B64" s="556" t="s">
        <v>22</v>
      </c>
      <c r="C64" s="507"/>
      <c r="D64" s="531"/>
      <c r="E64" s="530"/>
      <c r="F64" s="530"/>
      <c r="G64" s="530"/>
      <c r="H64" s="530"/>
      <c r="I64" s="530"/>
      <c r="J64" s="530"/>
      <c r="K64" s="529"/>
      <c r="L64" s="506"/>
      <c r="M64" s="506"/>
      <c r="N64" s="506"/>
      <c r="O64" s="506"/>
      <c r="P64" s="506"/>
      <c r="Q64" s="506"/>
      <c r="R64" s="506"/>
      <c r="S64" s="506"/>
      <c r="T64" s="506"/>
      <c r="U64" s="506"/>
      <c r="V64" s="506"/>
    </row>
    <row r="65" spans="1:22" x14ac:dyDescent="0.2">
      <c r="A65" s="467" t="s">
        <v>42</v>
      </c>
      <c r="B65" s="553" t="s">
        <v>87</v>
      </c>
      <c r="C65" s="552">
        <v>250</v>
      </c>
      <c r="D65" s="531">
        <v>45</v>
      </c>
      <c r="E65" s="530">
        <v>25</v>
      </c>
      <c r="F65" s="530">
        <v>25</v>
      </c>
      <c r="G65" s="530">
        <v>25</v>
      </c>
      <c r="H65" s="530">
        <v>130</v>
      </c>
      <c r="I65" s="554"/>
      <c r="J65" s="530"/>
      <c r="K65" s="529"/>
      <c r="L65" s="506"/>
      <c r="M65" s="506"/>
      <c r="N65" s="506"/>
      <c r="O65" s="506"/>
      <c r="P65" s="506"/>
      <c r="Q65" s="506"/>
      <c r="R65" s="506"/>
      <c r="S65" s="506"/>
      <c r="T65" s="506"/>
      <c r="U65" s="506"/>
      <c r="V65" s="506"/>
    </row>
    <row r="66" spans="1:22" x14ac:dyDescent="0.2">
      <c r="A66" s="467" t="s">
        <v>42</v>
      </c>
      <c r="B66" s="553" t="s">
        <v>88</v>
      </c>
      <c r="C66" s="552">
        <v>16</v>
      </c>
      <c r="D66" s="531">
        <v>16</v>
      </c>
      <c r="E66" s="555">
        <v>-239</v>
      </c>
      <c r="F66" s="530"/>
      <c r="G66" s="530"/>
      <c r="H66" s="530">
        <v>239</v>
      </c>
      <c r="I66" s="554"/>
      <c r="J66" s="530"/>
      <c r="K66" s="529"/>
      <c r="L66" s="506"/>
      <c r="M66" s="506"/>
      <c r="N66" s="506"/>
      <c r="O66" s="506"/>
      <c r="P66" s="506"/>
      <c r="Q66" s="506"/>
      <c r="R66" s="506"/>
      <c r="S66" s="506"/>
      <c r="T66" s="506"/>
      <c r="U66" s="506"/>
      <c r="V66" s="506"/>
    </row>
    <row r="67" spans="1:22" x14ac:dyDescent="0.2">
      <c r="A67" s="467" t="s">
        <v>42</v>
      </c>
      <c r="B67" s="553" t="s">
        <v>25</v>
      </c>
      <c r="C67" s="552">
        <v>35</v>
      </c>
      <c r="D67" s="531">
        <v>35</v>
      </c>
      <c r="E67" s="530"/>
      <c r="F67" s="530"/>
      <c r="G67" s="530"/>
      <c r="H67" s="530"/>
      <c r="I67" s="530"/>
      <c r="J67" s="530"/>
      <c r="K67" s="529"/>
      <c r="L67" s="506"/>
      <c r="M67" s="506"/>
      <c r="N67" s="506"/>
      <c r="O67" s="506"/>
      <c r="P67" s="506"/>
      <c r="Q67" s="506"/>
      <c r="R67" s="506"/>
      <c r="S67" s="506"/>
      <c r="T67" s="506"/>
      <c r="U67" s="506"/>
      <c r="V67" s="506"/>
    </row>
    <row r="68" spans="1:22" x14ac:dyDescent="0.2">
      <c r="A68" s="467"/>
      <c r="B68" s="553" t="s">
        <v>114</v>
      </c>
      <c r="C68" s="552"/>
      <c r="D68" s="531"/>
      <c r="E68" s="530">
        <v>0.3</v>
      </c>
      <c r="F68" s="530"/>
      <c r="G68" s="530"/>
      <c r="H68" s="530"/>
      <c r="I68" s="530"/>
      <c r="J68" s="530"/>
      <c r="K68" s="529"/>
      <c r="L68" s="506"/>
      <c r="M68" s="506"/>
      <c r="N68" s="506"/>
      <c r="O68" s="506"/>
      <c r="P68" s="506"/>
      <c r="Q68" s="506"/>
      <c r="R68" s="506"/>
      <c r="S68" s="506"/>
      <c r="T68" s="506"/>
      <c r="U68" s="506"/>
      <c r="V68" s="506"/>
    </row>
    <row r="69" spans="1:22" ht="13.5" thickBot="1" x14ac:dyDescent="0.25">
      <c r="A69" s="467" t="s">
        <v>42</v>
      </c>
      <c r="B69" s="551" t="s">
        <v>34</v>
      </c>
      <c r="C69" s="542"/>
      <c r="D69" s="531"/>
      <c r="E69" s="530"/>
      <c r="F69" s="530"/>
      <c r="G69" s="530"/>
      <c r="H69" s="530">
        <v>184</v>
      </c>
      <c r="I69" s="530"/>
      <c r="J69" s="530"/>
      <c r="K69" s="529"/>
      <c r="L69" s="506"/>
      <c r="M69" s="506"/>
      <c r="N69" s="506"/>
      <c r="O69" s="506"/>
      <c r="P69" s="506"/>
      <c r="Q69" s="506"/>
      <c r="R69" s="506"/>
      <c r="S69" s="506"/>
      <c r="T69" s="506"/>
      <c r="U69" s="506"/>
      <c r="V69" s="506"/>
    </row>
    <row r="70" spans="1:22" ht="16.5" thickBot="1" x14ac:dyDescent="0.3">
      <c r="A70" s="467"/>
      <c r="B70" s="548" t="s">
        <v>137</v>
      </c>
      <c r="C70" s="542"/>
      <c r="D70" s="531"/>
      <c r="E70" s="530"/>
      <c r="F70" s="530"/>
      <c r="G70" s="530"/>
      <c r="H70" s="550">
        <v>-107.5</v>
      </c>
      <c r="I70" s="530"/>
      <c r="J70" s="530"/>
      <c r="K70" s="529"/>
      <c r="L70" s="506"/>
      <c r="M70" s="506"/>
      <c r="N70" s="506"/>
      <c r="O70" s="506"/>
      <c r="P70" s="506"/>
      <c r="Q70" s="506"/>
      <c r="R70" s="506"/>
      <c r="S70" s="506"/>
      <c r="T70" s="506"/>
      <c r="U70" s="506"/>
      <c r="V70" s="506"/>
    </row>
    <row r="71" spans="1:22" s="489" customFormat="1" ht="16.5" thickBot="1" x14ac:dyDescent="0.3">
      <c r="A71" s="486"/>
      <c r="B71" s="548" t="s">
        <v>138</v>
      </c>
      <c r="C71" s="547"/>
      <c r="D71" s="499"/>
      <c r="E71" s="545"/>
      <c r="F71" s="545"/>
      <c r="G71" s="545"/>
      <c r="H71" s="549">
        <v>-800</v>
      </c>
      <c r="I71" s="545"/>
      <c r="J71" s="545">
        <v>26.1</v>
      </c>
      <c r="K71" s="544">
        <v>8.3000000000000007</v>
      </c>
      <c r="L71" s="504">
        <f>27+92.3</f>
        <v>119.3</v>
      </c>
      <c r="M71" s="504"/>
      <c r="N71" s="504">
        <f>(+L58+M58)*0.75</f>
        <v>72.451541924999987</v>
      </c>
      <c r="O71" s="504"/>
      <c r="P71" s="504">
        <f>(+N58+O58)*0.75</f>
        <v>63.498824394004174</v>
      </c>
      <c r="Q71" s="504">
        <f>(SUM(O58:P58)+(+Q58*0.5))*0.75</f>
        <v>116.11111979592482</v>
      </c>
      <c r="R71" s="504">
        <f>SUM(Q58)*0.75</f>
        <v>107.69016209557637</v>
      </c>
      <c r="S71" s="504">
        <f>SUM(R58)*0.75+176.4</f>
        <v>293.67940739865236</v>
      </c>
      <c r="T71" s="504">
        <v>0</v>
      </c>
      <c r="U71" s="504">
        <v>0</v>
      </c>
      <c r="V71" s="504">
        <v>0</v>
      </c>
    </row>
    <row r="72" spans="1:22" s="489" customFormat="1" ht="15.75" x14ac:dyDescent="0.25">
      <c r="A72" s="486"/>
      <c r="B72" s="548"/>
      <c r="C72" s="547"/>
      <c r="D72" s="499"/>
      <c r="E72" s="545"/>
      <c r="F72" s="545"/>
      <c r="G72" s="545"/>
      <c r="H72" s="546"/>
      <c r="I72" s="545"/>
      <c r="J72" s="545"/>
      <c r="K72" s="544"/>
      <c r="L72" s="504"/>
      <c r="M72" s="504"/>
      <c r="N72" s="504"/>
      <c r="O72" s="504"/>
      <c r="P72" s="504"/>
      <c r="Q72" s="504"/>
      <c r="R72" s="504"/>
      <c r="S72" s="504"/>
      <c r="T72" s="504"/>
      <c r="U72" s="504"/>
      <c r="V72" s="504"/>
    </row>
    <row r="73" spans="1:22" x14ac:dyDescent="0.2">
      <c r="A73" s="467" t="s">
        <v>42</v>
      </c>
      <c r="B73" s="541" t="s">
        <v>14</v>
      </c>
      <c r="C73" s="542">
        <v>1406</v>
      </c>
      <c r="D73" s="531"/>
      <c r="E73" s="530"/>
      <c r="F73" s="530"/>
      <c r="G73" s="530"/>
      <c r="H73" s="530">
        <v>1406</v>
      </c>
      <c r="I73" s="530"/>
      <c r="J73" s="530"/>
      <c r="K73" s="529"/>
      <c r="L73" s="506"/>
      <c r="M73" s="506"/>
      <c r="N73" s="506"/>
      <c r="O73" s="506"/>
      <c r="P73" s="506"/>
      <c r="Q73" s="506"/>
      <c r="R73" s="506"/>
      <c r="S73" s="506"/>
      <c r="T73" s="506"/>
      <c r="U73" s="506"/>
      <c r="V73" s="506"/>
    </row>
    <row r="74" spans="1:22" x14ac:dyDescent="0.2">
      <c r="A74" s="467"/>
      <c r="B74" s="543"/>
      <c r="C74" s="542"/>
      <c r="D74" s="531"/>
      <c r="E74" s="530"/>
      <c r="F74" s="530"/>
      <c r="G74" s="530"/>
      <c r="H74" s="530"/>
      <c r="I74" s="530"/>
      <c r="J74" s="530"/>
      <c r="K74" s="529"/>
      <c r="L74" s="506"/>
      <c r="M74" s="506"/>
      <c r="N74" s="506"/>
      <c r="O74" s="506"/>
      <c r="P74" s="506"/>
      <c r="Q74" s="506"/>
      <c r="R74" s="506"/>
      <c r="S74" s="506"/>
      <c r="T74" s="506"/>
      <c r="U74" s="506"/>
      <c r="V74" s="506"/>
    </row>
    <row r="75" spans="1:22" x14ac:dyDescent="0.2">
      <c r="B75" s="541" t="s">
        <v>69</v>
      </c>
      <c r="C75" s="540">
        <v>1707</v>
      </c>
      <c r="D75" s="531"/>
      <c r="E75" s="530"/>
      <c r="F75" s="530"/>
      <c r="G75" s="530"/>
      <c r="H75" s="530"/>
      <c r="I75" s="530"/>
      <c r="J75" s="530"/>
      <c r="K75" s="529"/>
      <c r="L75" s="506"/>
      <c r="M75" s="506"/>
      <c r="N75" s="506"/>
      <c r="O75" s="506"/>
      <c r="P75" s="506"/>
      <c r="Q75" s="506"/>
      <c r="R75" s="506"/>
      <c r="S75" s="506"/>
      <c r="T75" s="506"/>
      <c r="U75" s="506"/>
      <c r="V75" s="506"/>
    </row>
    <row r="76" spans="1:22" s="466" customFormat="1" ht="13.5" thickBot="1" x14ac:dyDescent="0.25">
      <c r="A76" s="467" t="s">
        <v>45</v>
      </c>
      <c r="B76" s="466" t="s">
        <v>53</v>
      </c>
      <c r="C76" s="539" t="s">
        <v>51</v>
      </c>
      <c r="D76" s="538">
        <f>-SUM(D63:D75)+D58</f>
        <v>84.150500000000022</v>
      </c>
      <c r="E76" s="532">
        <f>-SUM(E63:E75)+E58</f>
        <v>225.89449999999999</v>
      </c>
      <c r="F76" s="532">
        <f>-SUM(F63:F75)+F58</f>
        <v>65.489999999999981</v>
      </c>
      <c r="G76" s="532">
        <f>-SUM(G63:G75)+G58</f>
        <v>5.3894999999999982</v>
      </c>
      <c r="H76" s="532">
        <f>-SUM(H60:H75)+H58</f>
        <v>-274.09199999999993</v>
      </c>
      <c r="I76" s="537">
        <f>-SUM(I63:I75)+I58</f>
        <v>57.849999999999994</v>
      </c>
      <c r="J76" s="537">
        <f>-SUM(J63:J75)+J58</f>
        <v>33.712000000000003</v>
      </c>
      <c r="K76" s="535">
        <f>-SUM(K63:K75)+K58</f>
        <v>55.421300000000002</v>
      </c>
      <c r="L76" s="537">
        <f>-SUM(L63:L75)+L58</f>
        <v>-56.188402500000009</v>
      </c>
      <c r="M76" s="534">
        <f>-SUM(M63:M75)+M58</f>
        <v>33.490458399999994</v>
      </c>
      <c r="N76" s="534">
        <f>-SUM(N63:N75)+N58</f>
        <v>-32.216093079000004</v>
      </c>
      <c r="O76" s="534">
        <f>-SUM(O63:O75)+O58</f>
        <v>44.429650346005587</v>
      </c>
      <c r="P76" s="534">
        <f>-SUM(P63:P75)+P58</f>
        <v>-24.907089742494236</v>
      </c>
      <c r="Q76" s="533">
        <f>-SUM(Q63:Q75)+Q58</f>
        <v>27.475762998177004</v>
      </c>
      <c r="R76" s="532">
        <f>-SUM(R63:R75)+R58</f>
        <v>48.682381102626778</v>
      </c>
      <c r="S76" s="533">
        <f>-SUM(S63:S75)+S58</f>
        <v>-99.799033686952725</v>
      </c>
      <c r="T76" s="532">
        <f>-SUM(T63:T75)+T58</f>
        <v>247.04185207533413</v>
      </c>
      <c r="U76" s="533">
        <f>-SUM(U63:U75)+U58</f>
        <v>283.2934610896931</v>
      </c>
      <c r="V76" s="532">
        <f>-SUM(V63:V75)+V58</f>
        <v>351.6658347738437</v>
      </c>
    </row>
    <row r="77" spans="1:22" ht="14.25" thickTop="1" thickBot="1" x14ac:dyDescent="0.25">
      <c r="C77" s="507"/>
      <c r="D77" s="531"/>
      <c r="E77" s="530"/>
      <c r="F77" s="530"/>
      <c r="G77" s="530"/>
      <c r="H77" s="530"/>
      <c r="I77" s="530"/>
      <c r="J77" s="530"/>
      <c r="K77" s="529"/>
      <c r="L77" s="506"/>
      <c r="M77" s="506"/>
      <c r="N77" s="506"/>
      <c r="O77" s="506"/>
      <c r="P77" s="506"/>
      <c r="Q77" s="506"/>
      <c r="R77" s="506"/>
      <c r="S77" s="506"/>
      <c r="T77" s="506"/>
      <c r="U77" s="506"/>
      <c r="V77" s="506"/>
    </row>
    <row r="78" spans="1:22" s="521" customFormat="1" ht="13.5" thickBot="1" x14ac:dyDescent="0.25">
      <c r="A78" s="527" t="s">
        <v>52</v>
      </c>
      <c r="B78" s="521" t="s">
        <v>168</v>
      </c>
      <c r="C78" s="526"/>
      <c r="D78" s="522">
        <f>+D76</f>
        <v>84.150500000000022</v>
      </c>
      <c r="E78" s="522">
        <f>+D78+E76</f>
        <v>310.04500000000002</v>
      </c>
      <c r="F78" s="522">
        <f>+E78+F76</f>
        <v>375.53499999999997</v>
      </c>
      <c r="G78" s="522">
        <f>+F78+G76</f>
        <v>380.92449999999997</v>
      </c>
      <c r="H78" s="522">
        <f>+G78+H76</f>
        <v>106.83250000000004</v>
      </c>
      <c r="I78" s="522">
        <f>+H78+I76</f>
        <v>164.68250000000003</v>
      </c>
      <c r="J78" s="522">
        <f>+I78+J76</f>
        <v>198.39450000000005</v>
      </c>
      <c r="K78" s="524">
        <f>+J78+K76</f>
        <v>253.81580000000005</v>
      </c>
      <c r="L78" s="522">
        <f>+K78+L76</f>
        <v>197.62739750000003</v>
      </c>
      <c r="M78" s="522">
        <f>+L78+M76</f>
        <v>231.11785590000002</v>
      </c>
      <c r="N78" s="522">
        <f>+M78+N76</f>
        <v>198.90176282100003</v>
      </c>
      <c r="O78" s="522">
        <f>+N78+O76</f>
        <v>243.33141316700562</v>
      </c>
      <c r="P78" s="522">
        <f>+O78+P76</f>
        <v>218.42432342451139</v>
      </c>
      <c r="Q78" s="522">
        <f>+P78+Q76</f>
        <v>245.90008642268839</v>
      </c>
      <c r="R78" s="528">
        <f>+Q78+R76</f>
        <v>294.58246752531517</v>
      </c>
      <c r="S78" s="522">
        <f>+R78+S76</f>
        <v>194.78343383836244</v>
      </c>
      <c r="T78" s="522">
        <f>+S78+T76</f>
        <v>441.82528591369658</v>
      </c>
      <c r="U78" s="522">
        <f>+T78+U76</f>
        <v>725.11874700338967</v>
      </c>
      <c r="V78" s="522">
        <f>+U78+V76</f>
        <v>1076.7845817772334</v>
      </c>
    </row>
    <row r="79" spans="1:22" s="521" customFormat="1" x14ac:dyDescent="0.2">
      <c r="A79" s="527"/>
      <c r="C79" s="526"/>
      <c r="D79" s="522"/>
      <c r="E79" s="522"/>
      <c r="F79" s="522"/>
      <c r="G79" s="522"/>
      <c r="H79" s="522"/>
      <c r="I79" s="522"/>
      <c r="J79" s="525"/>
      <c r="K79" s="524"/>
      <c r="L79" s="522"/>
      <c r="M79" s="523"/>
      <c r="N79" s="522"/>
      <c r="O79" s="523"/>
      <c r="P79" s="523"/>
      <c r="Q79" s="523"/>
      <c r="R79" s="522"/>
      <c r="S79" s="522"/>
      <c r="T79" s="522"/>
      <c r="U79" s="522"/>
      <c r="V79" s="522"/>
    </row>
    <row r="80" spans="1:22" s="519" customFormat="1" ht="15.75" x14ac:dyDescent="0.25">
      <c r="A80" s="520"/>
      <c r="B80" s="518" t="s">
        <v>128</v>
      </c>
      <c r="C80" s="513"/>
      <c r="D80" s="513">
        <f>-SUM(D64:D74)</f>
        <v>-96</v>
      </c>
      <c r="E80" s="513">
        <f>-SUM(E64:E74)</f>
        <v>213.7</v>
      </c>
      <c r="F80" s="513">
        <f>-SUM(F64:F74)</f>
        <v>-25</v>
      </c>
      <c r="G80" s="513">
        <f>-SUM(G64:G74)</f>
        <v>-25</v>
      </c>
      <c r="H80" s="513">
        <f>-SUM(H64:H74)</f>
        <v>-1051.5</v>
      </c>
      <c r="I80" s="513">
        <f>-SUM(I64:I74)</f>
        <v>0</v>
      </c>
      <c r="J80" s="510">
        <f>-SUM(J64:J74)</f>
        <v>-26.1</v>
      </c>
      <c r="K80" s="516">
        <f>-SUM(K64:K74)</f>
        <v>-8.3000000000000007</v>
      </c>
      <c r="L80" s="513">
        <f>-SUM(L64:L74)</f>
        <v>-119.3</v>
      </c>
      <c r="M80" s="513">
        <f>-SUM(M64:M74)</f>
        <v>0</v>
      </c>
      <c r="N80" s="513">
        <f>-SUM(N64:N74)</f>
        <v>-72.451541924999987</v>
      </c>
      <c r="O80" s="513">
        <f>-SUM(O64:O74)</f>
        <v>0</v>
      </c>
      <c r="P80" s="513">
        <f>-SUM(P64:P74)</f>
        <v>-63.498824394004174</v>
      </c>
      <c r="Q80" s="513">
        <f>-SUM(Q64:Q74)</f>
        <v>-116.11111979592482</v>
      </c>
      <c r="R80" s="513">
        <f>-SUM(R64:R74)</f>
        <v>-107.69016209557637</v>
      </c>
      <c r="S80" s="513">
        <f>-SUM(S64:S74)</f>
        <v>-293.67940739865236</v>
      </c>
      <c r="T80" s="513">
        <f>-SUM(T64:T74)</f>
        <v>0</v>
      </c>
      <c r="U80" s="513">
        <f>-SUM(U64:U74)</f>
        <v>0</v>
      </c>
      <c r="V80" s="515">
        <f>-SUM(V64:V74)</f>
        <v>0</v>
      </c>
    </row>
    <row r="81" spans="1:22" s="482" customFormat="1" ht="15.75" x14ac:dyDescent="0.25">
      <c r="A81" s="486"/>
      <c r="B81" s="518" t="s">
        <v>127</v>
      </c>
      <c r="C81" s="513">
        <v>1891</v>
      </c>
      <c r="D81" s="513">
        <f>+C81+D80</f>
        <v>1795</v>
      </c>
      <c r="E81" s="513">
        <f>+D81+E80</f>
        <v>2008.7</v>
      </c>
      <c r="F81" s="513">
        <f>+E81+F80</f>
        <v>1983.7</v>
      </c>
      <c r="G81" s="513">
        <f>+F81+G80</f>
        <v>1958.7</v>
      </c>
      <c r="H81" s="513">
        <f>+G81+H80</f>
        <v>907.2</v>
      </c>
      <c r="I81" s="513">
        <f>+H81+I80</f>
        <v>907.2</v>
      </c>
      <c r="J81" s="513">
        <f>+I81+J80</f>
        <v>881.1</v>
      </c>
      <c r="K81" s="516">
        <f>+J81+K80</f>
        <v>872.80000000000007</v>
      </c>
      <c r="L81" s="513">
        <f>+K81+L80</f>
        <v>753.50000000000011</v>
      </c>
      <c r="M81" s="513">
        <f>+L81+M80</f>
        <v>753.50000000000011</v>
      </c>
      <c r="N81" s="513">
        <f>+M81+N80</f>
        <v>681.0484580750001</v>
      </c>
      <c r="O81" s="513">
        <f>+N81+O80</f>
        <v>681.0484580750001</v>
      </c>
      <c r="P81" s="513">
        <f>+O81+P80</f>
        <v>617.54963368099595</v>
      </c>
      <c r="Q81" s="513">
        <f>+P81+Q80</f>
        <v>501.43851388507113</v>
      </c>
      <c r="R81" s="513">
        <f>+Q81+R80</f>
        <v>393.74835178949479</v>
      </c>
      <c r="S81" s="513">
        <f>+R81+S80</f>
        <v>100.06894439084243</v>
      </c>
      <c r="T81" s="513">
        <f>+S81+T80</f>
        <v>100.06894439084243</v>
      </c>
      <c r="U81" s="513">
        <f>+T81+U80</f>
        <v>100.06894439084243</v>
      </c>
      <c r="V81" s="515">
        <f>+U81+V80</f>
        <v>100.06894439084243</v>
      </c>
    </row>
    <row r="82" spans="1:22" s="482" customFormat="1" ht="16.5" thickBot="1" x14ac:dyDescent="0.3">
      <c r="A82" s="486"/>
      <c r="B82" s="514" t="s">
        <v>172</v>
      </c>
      <c r="C82" s="510"/>
      <c r="D82" s="510"/>
      <c r="E82" s="510"/>
      <c r="F82" s="510"/>
      <c r="G82" s="510"/>
      <c r="H82" s="510"/>
      <c r="I82" s="510">
        <v>724</v>
      </c>
      <c r="J82" s="513">
        <v>664</v>
      </c>
      <c r="K82" s="659">
        <v>601</v>
      </c>
      <c r="L82" s="658" t="s">
        <v>224</v>
      </c>
      <c r="M82" s="510"/>
      <c r="N82" s="510"/>
      <c r="O82" s="510"/>
      <c r="P82" s="510"/>
      <c r="Q82" s="510"/>
      <c r="R82" s="510"/>
      <c r="S82" s="510"/>
      <c r="T82" s="510"/>
      <c r="U82" s="510"/>
      <c r="V82" s="510"/>
    </row>
    <row r="83" spans="1:22" s="508" customFormat="1" ht="15.75" x14ac:dyDescent="0.25">
      <c r="B83" s="508" t="s">
        <v>163</v>
      </c>
      <c r="D83" s="509"/>
      <c r="H83" s="358">
        <v>1.4</v>
      </c>
      <c r="I83" s="359">
        <v>1.3</v>
      </c>
      <c r="J83" s="508">
        <v>1.3</v>
      </c>
      <c r="K83" s="508">
        <v>1.3</v>
      </c>
      <c r="L83" s="509" t="s">
        <v>223</v>
      </c>
      <c r="N83" s="509"/>
    </row>
    <row r="84" spans="1:22" ht="15.75" x14ac:dyDescent="0.25">
      <c r="B84" s="505" t="s">
        <v>50</v>
      </c>
      <c r="H84" s="507"/>
    </row>
    <row r="85" spans="1:22" ht="15.75" x14ac:dyDescent="0.25">
      <c r="B85" s="505"/>
    </row>
    <row r="86" spans="1:22" ht="15.75" x14ac:dyDescent="0.25">
      <c r="B86" s="505"/>
    </row>
    <row r="88" spans="1:22" s="489" customFormat="1" ht="15.75" x14ac:dyDescent="0.25">
      <c r="A88" s="490"/>
      <c r="B88" s="489" t="s">
        <v>146</v>
      </c>
      <c r="D88" s="482">
        <v>27.995000000000001</v>
      </c>
      <c r="E88" s="482">
        <f>+D88</f>
        <v>27.995000000000001</v>
      </c>
      <c r="F88" s="482">
        <f>+E88</f>
        <v>27.995000000000001</v>
      </c>
      <c r="G88" s="482">
        <f>+F88</f>
        <v>27.995000000000001</v>
      </c>
      <c r="H88" s="482">
        <v>27.995000000000001</v>
      </c>
      <c r="I88" s="482">
        <v>27.995000000000001</v>
      </c>
      <c r="J88" s="482">
        <v>27.995000000000001</v>
      </c>
      <c r="K88" s="482">
        <v>27.995000000000001</v>
      </c>
      <c r="L88" s="482"/>
      <c r="M88" s="482"/>
      <c r="N88" s="482"/>
      <c r="O88" s="482"/>
      <c r="P88" s="482"/>
      <c r="Q88" s="482"/>
      <c r="R88" s="482"/>
      <c r="S88" s="482"/>
      <c r="T88" s="482"/>
      <c r="U88" s="482"/>
      <c r="V88" s="482"/>
    </row>
    <row r="89" spans="1:22" s="489" customFormat="1" ht="15" x14ac:dyDescent="0.2">
      <c r="A89" s="490"/>
    </row>
    <row r="90" spans="1:22" s="489" customFormat="1" ht="15.75" thickBot="1" x14ac:dyDescent="0.25">
      <c r="A90" s="490"/>
      <c r="B90" s="489" t="s">
        <v>147</v>
      </c>
      <c r="E90" s="504">
        <v>-2869.3</v>
      </c>
      <c r="F90" s="504">
        <v>67.7</v>
      </c>
      <c r="G90" s="504">
        <v>24</v>
      </c>
      <c r="H90" s="504">
        <v>823.5</v>
      </c>
      <c r="I90" s="504">
        <v>53.5</v>
      </c>
      <c r="J90" s="504">
        <v>50.5</v>
      </c>
      <c r="K90" s="504">
        <v>41.8</v>
      </c>
      <c r="L90" s="504"/>
      <c r="M90" s="504"/>
      <c r="N90" s="504"/>
      <c r="O90" s="504"/>
      <c r="P90" s="504"/>
      <c r="Q90" s="504"/>
      <c r="R90" s="504"/>
      <c r="S90" s="504"/>
      <c r="T90" s="504"/>
      <c r="U90" s="504"/>
      <c r="V90" s="504"/>
    </row>
    <row r="91" spans="1:22" s="489" customFormat="1" ht="15" x14ac:dyDescent="0.2">
      <c r="A91" s="490"/>
      <c r="B91" s="503" t="s">
        <v>150</v>
      </c>
      <c r="C91" s="502"/>
      <c r="D91" s="502"/>
      <c r="E91" s="501"/>
      <c r="F91" s="501"/>
      <c r="G91" s="501"/>
      <c r="H91" s="501"/>
      <c r="I91" s="501"/>
      <c r="J91" s="501"/>
      <c r="K91" s="501"/>
      <c r="L91" s="501"/>
      <c r="M91" s="501"/>
      <c r="N91" s="501"/>
      <c r="O91" s="501"/>
      <c r="P91" s="501"/>
      <c r="Q91" s="501"/>
      <c r="R91" s="501"/>
      <c r="S91" s="501"/>
      <c r="T91" s="501"/>
      <c r="U91" s="501"/>
      <c r="V91" s="500"/>
    </row>
    <row r="92" spans="1:22" s="489" customFormat="1" ht="15" x14ac:dyDescent="0.2">
      <c r="A92" s="490"/>
      <c r="B92" s="497" t="s">
        <v>161</v>
      </c>
      <c r="C92" s="496"/>
      <c r="D92" s="496"/>
      <c r="E92" s="499">
        <f>146-30</f>
        <v>116</v>
      </c>
      <c r="F92" s="499">
        <f>145.2-24.2</f>
        <v>120.99999999999999</v>
      </c>
      <c r="G92" s="499">
        <f>137.775-26.6</f>
        <v>111.17500000000001</v>
      </c>
      <c r="H92" s="499">
        <f>141.56-23.4</f>
        <v>118.16</v>
      </c>
      <c r="I92" s="499">
        <v>101.8</v>
      </c>
      <c r="J92" s="499">
        <f>+J23-14.8</f>
        <v>92.412000000000006</v>
      </c>
      <c r="K92" s="499">
        <f>+K23-11</f>
        <v>91.05080000000001</v>
      </c>
      <c r="L92" s="657"/>
      <c r="M92" s="499"/>
      <c r="N92" s="499"/>
      <c r="O92" s="499"/>
      <c r="P92" s="499"/>
      <c r="Q92" s="499"/>
      <c r="R92" s="499"/>
      <c r="S92" s="499"/>
      <c r="T92" s="499"/>
      <c r="U92" s="499"/>
      <c r="V92" s="498"/>
    </row>
    <row r="93" spans="1:22" s="489" customFormat="1" ht="15" x14ac:dyDescent="0.2">
      <c r="A93" s="490"/>
      <c r="B93" s="497"/>
      <c r="C93" s="496"/>
      <c r="D93" s="496"/>
      <c r="E93" s="496"/>
      <c r="F93" s="496"/>
      <c r="G93" s="496"/>
      <c r="H93" s="496"/>
      <c r="I93" s="496"/>
      <c r="J93" s="496"/>
      <c r="K93" s="496"/>
      <c r="L93" s="496"/>
      <c r="M93" s="496"/>
      <c r="N93" s="496"/>
      <c r="O93" s="496"/>
      <c r="P93" s="496"/>
      <c r="Q93" s="496"/>
      <c r="R93" s="496"/>
      <c r="S93" s="496"/>
      <c r="T93" s="496"/>
      <c r="U93" s="496"/>
      <c r="V93" s="495"/>
    </row>
    <row r="94" spans="1:22" s="482" customFormat="1" ht="16.5" thickBot="1" x14ac:dyDescent="0.3">
      <c r="A94" s="486"/>
      <c r="B94" s="494" t="s">
        <v>148</v>
      </c>
      <c r="C94" s="492"/>
      <c r="D94" s="492"/>
      <c r="E94" s="492"/>
      <c r="F94" s="493">
        <f>+(F92*4)/F$88</f>
        <v>17.288801571709232</v>
      </c>
      <c r="G94" s="493">
        <f>+(G92*4)/G$88</f>
        <v>15.884979460617968</v>
      </c>
      <c r="H94" s="493">
        <f>+(H92*4)/H$88</f>
        <v>16.883014824075726</v>
      </c>
      <c r="I94" s="493">
        <f>+(I92*4)/I$88</f>
        <v>14.545454545454545</v>
      </c>
      <c r="J94" s="493">
        <f>+(J92*4)/J$88</f>
        <v>13.204072155742097</v>
      </c>
      <c r="K94" s="493">
        <f>+(K92*4)/K$88</f>
        <v>13.00958028219325</v>
      </c>
      <c r="L94" s="492"/>
      <c r="M94" s="492"/>
      <c r="N94" s="492"/>
      <c r="O94" s="492"/>
      <c r="P94" s="492"/>
      <c r="Q94" s="492"/>
      <c r="R94" s="492"/>
      <c r="S94" s="492"/>
      <c r="T94" s="492"/>
      <c r="U94" s="492"/>
      <c r="V94" s="491"/>
    </row>
    <row r="95" spans="1:22" s="489" customFormat="1" ht="15" x14ac:dyDescent="0.2">
      <c r="A95" s="490"/>
    </row>
    <row r="96" spans="1:22" s="482" customFormat="1" ht="15.75" x14ac:dyDescent="0.25">
      <c r="A96" s="486"/>
      <c r="B96" s="482" t="s">
        <v>149</v>
      </c>
      <c r="E96" s="488">
        <f>+E23/E$88*4</f>
        <v>20.860868012145026</v>
      </c>
      <c r="F96" s="488">
        <f>+F23/F$88*4</f>
        <v>20.746561886051079</v>
      </c>
      <c r="G96" s="488">
        <f>+G23/G$88*4</f>
        <v>19.689230219682088</v>
      </c>
      <c r="H96" s="488">
        <f>+H23/H$88*4</f>
        <v>20.225040185747456</v>
      </c>
      <c r="I96" s="488">
        <f>+I23/I$88*4</f>
        <v>16.50294695481336</v>
      </c>
      <c r="J96" s="488">
        <f>+J23/J$88*4</f>
        <v>15.318735488480085</v>
      </c>
      <c r="K96" s="488">
        <f>+K23/K$88*4</f>
        <v>14.581289515984999</v>
      </c>
    </row>
    <row r="97" spans="1:22" s="482" customFormat="1" ht="15.75" x14ac:dyDescent="0.25">
      <c r="A97" s="486"/>
      <c r="E97" s="488"/>
      <c r="F97" s="488"/>
      <c r="G97" s="488"/>
      <c r="H97" s="488"/>
      <c r="I97" s="488"/>
      <c r="J97" s="488"/>
    </row>
    <row r="98" spans="1:22" s="482" customFormat="1" ht="15.75" x14ac:dyDescent="0.25">
      <c r="A98" s="486"/>
      <c r="B98" s="482" t="s">
        <v>166</v>
      </c>
      <c r="E98" s="488"/>
      <c r="F98" s="488"/>
      <c r="G98" s="488"/>
      <c r="H98" s="488"/>
      <c r="I98" s="488">
        <v>11.79</v>
      </c>
      <c r="J98" s="488">
        <v>12.25</v>
      </c>
      <c r="K98" s="488">
        <v>13.96</v>
      </c>
    </row>
    <row r="99" spans="1:22" s="482" customFormat="1" ht="15.75" x14ac:dyDescent="0.25">
      <c r="A99" s="486"/>
      <c r="B99" s="482" t="s">
        <v>167</v>
      </c>
      <c r="E99" s="488"/>
      <c r="F99" s="488"/>
      <c r="G99" s="488"/>
      <c r="H99" s="488"/>
      <c r="I99" s="487">
        <f>+I98/I94</f>
        <v>0.81056249999999996</v>
      </c>
      <c r="J99" s="487">
        <f>+J98/J94</f>
        <v>0.92774409708695837</v>
      </c>
      <c r="K99" s="487">
        <f>+K98/K94</f>
        <v>1.0730553712872375</v>
      </c>
    </row>
    <row r="100" spans="1:22" s="482" customFormat="1" ht="15.75" x14ac:dyDescent="0.25">
      <c r="A100" s="486"/>
      <c r="B100" s="485" t="s">
        <v>175</v>
      </c>
      <c r="C100" s="485"/>
      <c r="D100" s="485"/>
      <c r="E100" s="484"/>
      <c r="F100" s="484"/>
      <c r="G100" s="484"/>
      <c r="H100" s="484"/>
      <c r="I100" s="483">
        <v>1.91</v>
      </c>
      <c r="J100" s="483">
        <v>1.81</v>
      </c>
      <c r="K100" s="483">
        <v>1.51</v>
      </c>
    </row>
    <row r="102" spans="1:22" s="468" customFormat="1" ht="15.75" x14ac:dyDescent="0.25">
      <c r="A102" s="473"/>
      <c r="B102" s="481"/>
      <c r="C102" s="480"/>
      <c r="D102" s="480"/>
      <c r="E102" s="480"/>
      <c r="F102" s="480"/>
      <c r="G102" s="480"/>
      <c r="H102" s="480"/>
      <c r="I102" s="480"/>
      <c r="J102" s="480"/>
      <c r="K102" s="480"/>
      <c r="L102" s="480"/>
      <c r="M102" s="480"/>
      <c r="N102" s="480"/>
      <c r="O102" s="480"/>
      <c r="P102" s="480"/>
      <c r="Q102" s="480"/>
      <c r="R102" s="480"/>
      <c r="S102" s="480"/>
      <c r="T102" s="480"/>
      <c r="U102" s="480"/>
      <c r="V102" s="479"/>
    </row>
    <row r="103" spans="1:22" s="468" customFormat="1" ht="15.75" x14ac:dyDescent="0.25">
      <c r="A103" s="473"/>
      <c r="B103" s="477" t="s">
        <v>152</v>
      </c>
      <c r="C103" s="475"/>
      <c r="D103" s="475"/>
      <c r="E103" s="475"/>
      <c r="F103" s="475"/>
      <c r="G103" s="475"/>
      <c r="H103" s="478">
        <v>61.75</v>
      </c>
      <c r="I103" s="478">
        <v>86.6</v>
      </c>
      <c r="J103" s="478">
        <v>86.5</v>
      </c>
      <c r="K103" s="475">
        <v>79.2</v>
      </c>
      <c r="L103" s="475"/>
      <c r="M103" s="475"/>
      <c r="N103" s="475"/>
      <c r="O103" s="475"/>
      <c r="P103" s="475"/>
      <c r="Q103" s="475"/>
      <c r="R103" s="475"/>
      <c r="S103" s="475"/>
      <c r="T103" s="475"/>
      <c r="U103" s="475"/>
      <c r="V103" s="474"/>
    </row>
    <row r="104" spans="1:22" s="468" customFormat="1" ht="15.75" x14ac:dyDescent="0.25">
      <c r="A104" s="473"/>
      <c r="B104" s="477" t="s">
        <v>153</v>
      </c>
      <c r="C104" s="475"/>
      <c r="D104" s="475"/>
      <c r="E104" s="475"/>
      <c r="F104" s="475"/>
      <c r="G104" s="475"/>
      <c r="H104" s="478">
        <v>47.98</v>
      </c>
      <c r="I104" s="478">
        <v>67.7</v>
      </c>
      <c r="J104" s="478">
        <v>68.5</v>
      </c>
      <c r="K104" s="475">
        <v>64.3</v>
      </c>
      <c r="L104" s="475"/>
      <c r="M104" s="475"/>
      <c r="N104" s="475"/>
      <c r="O104" s="475"/>
      <c r="P104" s="475"/>
      <c r="Q104" s="475"/>
      <c r="R104" s="475"/>
      <c r="S104" s="475"/>
      <c r="T104" s="475"/>
      <c r="U104" s="475"/>
      <c r="V104" s="474"/>
    </row>
    <row r="105" spans="1:22" s="468" customFormat="1" ht="15.75" x14ac:dyDescent="0.25">
      <c r="A105" s="473"/>
      <c r="B105" s="477"/>
      <c r="C105" s="475"/>
      <c r="D105" s="475"/>
      <c r="E105" s="475"/>
      <c r="F105" s="475"/>
      <c r="G105" s="475"/>
      <c r="H105" s="475"/>
      <c r="I105" s="475"/>
      <c r="J105" s="475"/>
      <c r="K105" s="475"/>
      <c r="L105" s="475"/>
      <c r="M105" s="475"/>
      <c r="N105" s="475"/>
      <c r="O105" s="475"/>
      <c r="P105" s="475"/>
      <c r="Q105" s="475"/>
      <c r="R105" s="475"/>
      <c r="S105" s="475"/>
      <c r="T105" s="475"/>
      <c r="U105" s="475"/>
      <c r="V105" s="474"/>
    </row>
    <row r="106" spans="1:22" s="468" customFormat="1" ht="15.75" x14ac:dyDescent="0.25">
      <c r="A106" s="473"/>
      <c r="B106" s="477" t="s">
        <v>154</v>
      </c>
      <c r="C106" s="475"/>
      <c r="D106" s="475"/>
      <c r="E106" s="475"/>
      <c r="F106" s="475"/>
      <c r="G106" s="475"/>
      <c r="H106" s="476">
        <f>+H103/$H$88</f>
        <v>2.2057510269691014</v>
      </c>
      <c r="I106" s="476">
        <f>+I103/$H$88</f>
        <v>3.0934095374173958</v>
      </c>
      <c r="J106" s="476">
        <f>+J103/$H$88</f>
        <v>3.0898374709769603</v>
      </c>
      <c r="K106" s="476">
        <f>+K103/$H$88</f>
        <v>2.8290766208251474</v>
      </c>
      <c r="L106" s="475"/>
      <c r="M106" s="475"/>
      <c r="N106" s="475"/>
      <c r="O106" s="475"/>
      <c r="P106" s="475"/>
      <c r="Q106" s="475"/>
      <c r="R106" s="475"/>
      <c r="S106" s="475"/>
      <c r="T106" s="475"/>
      <c r="U106" s="475"/>
      <c r="V106" s="474"/>
    </row>
    <row r="107" spans="1:22" s="468" customFormat="1" ht="15.75" x14ac:dyDescent="0.25">
      <c r="A107" s="473"/>
      <c r="B107" s="477" t="s">
        <v>155</v>
      </c>
      <c r="C107" s="475"/>
      <c r="D107" s="475"/>
      <c r="E107" s="475"/>
      <c r="F107" s="475"/>
      <c r="G107" s="475"/>
      <c r="H107" s="476">
        <f>+H$104/H$88</f>
        <v>1.7138774781210928</v>
      </c>
      <c r="I107" s="476">
        <f>+I$104/H$88</f>
        <v>2.4182889801750314</v>
      </c>
      <c r="J107" s="476">
        <f>+J$104/I$88</f>
        <v>2.4468655116985176</v>
      </c>
      <c r="K107" s="476">
        <f>+K$104/J$88</f>
        <v>2.2968387212002139</v>
      </c>
      <c r="L107" s="475"/>
      <c r="M107" s="475"/>
      <c r="N107" s="475"/>
      <c r="O107" s="475"/>
      <c r="P107" s="475"/>
      <c r="Q107" s="475"/>
      <c r="R107" s="475"/>
      <c r="S107" s="475"/>
      <c r="T107" s="475"/>
      <c r="U107" s="475"/>
      <c r="V107" s="474"/>
    </row>
    <row r="108" spans="1:22" s="468" customFormat="1" ht="15.75" x14ac:dyDescent="0.25">
      <c r="A108" s="473"/>
      <c r="B108" s="472" t="s">
        <v>162</v>
      </c>
      <c r="C108" s="470"/>
      <c r="D108" s="470"/>
      <c r="E108" s="470"/>
      <c r="F108" s="470"/>
      <c r="G108" s="470"/>
      <c r="H108" s="471">
        <f>+H107*4</f>
        <v>6.8555099124843712</v>
      </c>
      <c r="I108" s="471">
        <f>+I107*4</f>
        <v>9.6731559207001254</v>
      </c>
      <c r="J108" s="471">
        <f>+J107*4</f>
        <v>9.7874620467940705</v>
      </c>
      <c r="K108" s="471">
        <f>+K107*4</f>
        <v>9.1873548848008557</v>
      </c>
      <c r="L108" s="470"/>
      <c r="M108" s="470"/>
      <c r="N108" s="470"/>
      <c r="O108" s="470"/>
      <c r="P108" s="470"/>
      <c r="Q108" s="470"/>
      <c r="R108" s="470"/>
      <c r="S108" s="470"/>
      <c r="T108" s="470"/>
      <c r="U108" s="470"/>
      <c r="V108" s="469"/>
    </row>
    <row r="109" spans="1:22" s="466" customFormat="1" x14ac:dyDescent="0.2">
      <c r="A109" s="467"/>
    </row>
    <row r="110" spans="1:22" ht="20.25" x14ac:dyDescent="0.3">
      <c r="B110" s="465" t="s">
        <v>156</v>
      </c>
    </row>
    <row r="111" spans="1:22" ht="20.25" x14ac:dyDescent="0.3">
      <c r="B111" s="464" t="s">
        <v>158</v>
      </c>
    </row>
    <row r="112" spans="1:22" ht="20.25" x14ac:dyDescent="0.3">
      <c r="B112" s="464" t="s">
        <v>159</v>
      </c>
    </row>
    <row r="113" spans="2:2" ht="20.25" x14ac:dyDescent="0.3">
      <c r="B113" s="464" t="s">
        <v>157</v>
      </c>
    </row>
  </sheetData>
  <pageMargins left="0.75" right="0.75" top="1" bottom="1" header="0.5" footer="0.5"/>
  <pageSetup paperSize="9" orientation="portrait" horizontalDpi="0" verticalDpi="0" r:id="rId1"/>
  <headerFooter alignWithMargins="0"/>
  <legacyDrawing r:id="rId2"/>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2"/>
  <dimension ref="A1:V111"/>
  <sheetViews>
    <sheetView topLeftCell="A34" workbookViewId="0">
      <selection activeCell="I48" sqref="I48:J48"/>
    </sheetView>
  </sheetViews>
  <sheetFormatPr defaultRowHeight="12.75" x14ac:dyDescent="0.2"/>
  <cols>
    <col min="1" max="1" width="4.5703125" style="6" customWidth="1"/>
    <col min="2" max="2" width="21.42578125" customWidth="1"/>
    <col min="3" max="3" width="8" customWidth="1"/>
    <col min="5" max="5" width="10.85546875" customWidth="1"/>
    <col min="6" max="16" width="9.7109375" customWidth="1"/>
    <col min="17" max="22" width="11.28515625" customWidth="1"/>
  </cols>
  <sheetData>
    <row r="1" spans="1:22" ht="33.75" thickBot="1" x14ac:dyDescent="0.65">
      <c r="B1" s="113" t="s">
        <v>171</v>
      </c>
      <c r="G1" s="98"/>
      <c r="H1" s="65"/>
      <c r="I1" s="64"/>
      <c r="J1" s="65" t="s">
        <v>108</v>
      </c>
      <c r="K1" s="64"/>
      <c r="L1" s="64"/>
    </row>
    <row r="2" spans="1:22" s="98" customFormat="1" ht="36" customHeight="1" thickBot="1" x14ac:dyDescent="0.55000000000000004">
      <c r="A2" s="31"/>
      <c r="B2" s="97"/>
      <c r="G2" s="269"/>
      <c r="H2" s="270"/>
      <c r="I2" s="271"/>
      <c r="J2" s="272" t="s">
        <v>170</v>
      </c>
      <c r="K2" s="271"/>
      <c r="L2" s="271"/>
      <c r="M2" s="273"/>
    </row>
    <row r="3" spans="1:22" ht="20.25" x14ac:dyDescent="0.3">
      <c r="B3" s="114" t="s">
        <v>110</v>
      </c>
      <c r="C3" s="95"/>
      <c r="D3" s="185"/>
      <c r="E3" s="104"/>
      <c r="F3" s="96"/>
    </row>
    <row r="4" spans="1:22" s="19" customFormat="1" ht="16.5" thickBot="1" x14ac:dyDescent="0.3">
      <c r="A4" s="17"/>
      <c r="C4" s="144"/>
      <c r="D4" s="175" t="s">
        <v>20</v>
      </c>
      <c r="E4" s="160" t="s">
        <v>1</v>
      </c>
      <c r="F4" s="20" t="s">
        <v>2</v>
      </c>
      <c r="G4" s="20" t="s">
        <v>3</v>
      </c>
      <c r="H4" s="20" t="s">
        <v>4</v>
      </c>
      <c r="I4" s="21" t="s">
        <v>5</v>
      </c>
      <c r="J4" s="21" t="s">
        <v>6</v>
      </c>
      <c r="K4" s="21" t="s">
        <v>7</v>
      </c>
      <c r="L4" s="21" t="s">
        <v>8</v>
      </c>
      <c r="M4" s="22" t="s">
        <v>9</v>
      </c>
      <c r="N4" s="22" t="s">
        <v>10</v>
      </c>
      <c r="O4" s="22" t="s">
        <v>11</v>
      </c>
      <c r="P4" s="22" t="s">
        <v>12</v>
      </c>
      <c r="Q4" s="274">
        <v>2015</v>
      </c>
      <c r="R4" s="279">
        <v>2016</v>
      </c>
      <c r="S4" s="274">
        <v>2017</v>
      </c>
      <c r="T4" s="279">
        <v>2018</v>
      </c>
      <c r="U4" s="274">
        <v>2019</v>
      </c>
      <c r="V4" s="279">
        <v>2020</v>
      </c>
    </row>
    <row r="5" spans="1:22" s="129" customFormat="1" ht="17.25" thickBot="1" x14ac:dyDescent="0.3">
      <c r="B5" s="136" t="s">
        <v>105</v>
      </c>
      <c r="C5" s="137"/>
      <c r="D5" s="137"/>
      <c r="E5" s="138"/>
      <c r="F5" s="138"/>
      <c r="G5" s="138"/>
      <c r="H5" s="138"/>
      <c r="I5" s="138"/>
      <c r="J5" s="364"/>
      <c r="K5" s="138">
        <v>2.5000000000000001E-2</v>
      </c>
      <c r="L5" s="139">
        <f t="shared" ref="L5:O6" si="0">+K5</f>
        <v>2.5000000000000001E-2</v>
      </c>
      <c r="M5" s="181">
        <f t="shared" si="0"/>
        <v>2.5000000000000001E-2</v>
      </c>
      <c r="N5" s="138">
        <f t="shared" si="0"/>
        <v>2.5000000000000001E-2</v>
      </c>
      <c r="O5" s="138">
        <f t="shared" si="0"/>
        <v>2.5000000000000001E-2</v>
      </c>
      <c r="P5" s="139">
        <f>+O5</f>
        <v>2.5000000000000001E-2</v>
      </c>
      <c r="Q5" s="179">
        <v>0.15</v>
      </c>
      <c r="R5" s="179">
        <v>0.15</v>
      </c>
      <c r="S5" s="139">
        <v>0.15</v>
      </c>
      <c r="T5" s="139">
        <v>0.15</v>
      </c>
      <c r="U5" s="139">
        <v>0.15</v>
      </c>
      <c r="V5" s="139">
        <v>0.15</v>
      </c>
    </row>
    <row r="6" spans="1:22" s="129" customFormat="1" ht="17.25" thickBot="1" x14ac:dyDescent="0.3">
      <c r="B6" s="130" t="s">
        <v>106</v>
      </c>
      <c r="C6" s="131"/>
      <c r="D6" s="131"/>
      <c r="E6" s="138"/>
      <c r="F6" s="132"/>
      <c r="G6" s="132"/>
      <c r="H6" s="132"/>
      <c r="I6" s="132"/>
      <c r="J6" s="365"/>
      <c r="K6" s="132">
        <v>-0.05</v>
      </c>
      <c r="L6" s="133">
        <f t="shared" si="0"/>
        <v>-0.05</v>
      </c>
      <c r="M6" s="182">
        <f t="shared" si="0"/>
        <v>-0.05</v>
      </c>
      <c r="N6" s="132">
        <f t="shared" si="0"/>
        <v>-0.05</v>
      </c>
      <c r="O6" s="132">
        <f t="shared" si="0"/>
        <v>-0.05</v>
      </c>
      <c r="P6" s="133">
        <f>+O6</f>
        <v>-0.05</v>
      </c>
      <c r="Q6" s="180">
        <v>-0.15</v>
      </c>
      <c r="R6" s="180">
        <v>-0.15</v>
      </c>
      <c r="S6" s="133">
        <v>-0.1</v>
      </c>
      <c r="T6" s="133">
        <v>-0.05</v>
      </c>
      <c r="U6" s="133">
        <v>0</v>
      </c>
      <c r="V6" s="133">
        <v>0</v>
      </c>
    </row>
    <row r="7" spans="1:22" ht="20.25" x14ac:dyDescent="0.3">
      <c r="B7" s="94"/>
      <c r="C7" s="95"/>
      <c r="D7" s="95"/>
      <c r="E7" s="104"/>
      <c r="F7" s="238"/>
      <c r="G7" s="287"/>
      <c r="H7" s="287"/>
      <c r="I7" s="287"/>
      <c r="J7" s="353"/>
    </row>
    <row r="8" spans="1:22" s="16" customFormat="1" ht="15.75" x14ac:dyDescent="0.25">
      <c r="A8" s="17"/>
      <c r="D8" s="155"/>
      <c r="E8" s="189"/>
      <c r="F8" s="189"/>
      <c r="G8" s="189"/>
      <c r="H8" s="189"/>
      <c r="I8" s="189"/>
      <c r="J8" s="289" t="s">
        <v>56</v>
      </c>
    </row>
    <row r="9" spans="1:22" s="19" customFormat="1" x14ac:dyDescent="0.2">
      <c r="A9" s="17"/>
      <c r="C9" s="144" t="s">
        <v>36</v>
      </c>
      <c r="D9" s="175" t="s">
        <v>20</v>
      </c>
      <c r="E9" s="239" t="s">
        <v>1</v>
      </c>
      <c r="F9" s="239" t="s">
        <v>2</v>
      </c>
      <c r="G9" s="239" t="s">
        <v>3</v>
      </c>
      <c r="H9" s="239" t="s">
        <v>4</v>
      </c>
      <c r="I9" s="362" t="s">
        <v>5</v>
      </c>
      <c r="J9" s="349" t="s">
        <v>6</v>
      </c>
      <c r="K9" s="21" t="s">
        <v>7</v>
      </c>
      <c r="L9" s="21" t="s">
        <v>8</v>
      </c>
      <c r="M9" s="22" t="s">
        <v>9</v>
      </c>
      <c r="N9" s="22" t="s">
        <v>10</v>
      </c>
      <c r="O9" s="22" t="s">
        <v>11</v>
      </c>
      <c r="P9" s="22" t="s">
        <v>12</v>
      </c>
      <c r="Q9" s="331">
        <v>2015</v>
      </c>
      <c r="R9" s="115">
        <v>2016</v>
      </c>
      <c r="S9" s="331">
        <v>2017</v>
      </c>
      <c r="T9" s="115">
        <v>2018</v>
      </c>
      <c r="U9" s="331">
        <v>2019</v>
      </c>
      <c r="V9" s="115">
        <v>2020</v>
      </c>
    </row>
    <row r="10" spans="1:22" s="2" customFormat="1" x14ac:dyDescent="0.2">
      <c r="A10" s="31"/>
      <c r="B10" s="53" t="s">
        <v>57</v>
      </c>
      <c r="C10" s="145"/>
      <c r="D10" s="149"/>
      <c r="E10" s="149"/>
      <c r="F10" s="149"/>
      <c r="G10" s="149"/>
      <c r="H10" s="149"/>
      <c r="I10" s="149"/>
      <c r="J10" s="290"/>
    </row>
    <row r="11" spans="1:22" s="2" customFormat="1" x14ac:dyDescent="0.2">
      <c r="A11" s="31"/>
      <c r="B11" s="103"/>
      <c r="C11" s="145"/>
      <c r="D11" s="149"/>
      <c r="E11" s="149"/>
      <c r="F11" s="149"/>
      <c r="G11" s="149"/>
      <c r="H11" s="149"/>
      <c r="I11" s="149"/>
      <c r="J11" s="290"/>
    </row>
    <row r="12" spans="1:22" s="2" customFormat="1" x14ac:dyDescent="0.2">
      <c r="A12" s="31"/>
      <c r="B12" s="72" t="s">
        <v>73</v>
      </c>
      <c r="C12" s="145"/>
      <c r="D12" s="157">
        <v>90</v>
      </c>
      <c r="E12" s="157">
        <v>85.9</v>
      </c>
      <c r="F12" s="157">
        <v>89.7</v>
      </c>
      <c r="G12" s="157">
        <v>92</v>
      </c>
      <c r="H12" s="157">
        <v>99.7</v>
      </c>
      <c r="I12" s="157">
        <v>98.9</v>
      </c>
      <c r="J12" s="291">
        <v>98.4</v>
      </c>
      <c r="K12" s="12">
        <f t="shared" ref="K12:P12" si="1">+J12*(1+K13)</f>
        <v>100.86</v>
      </c>
      <c r="L12" s="12">
        <f t="shared" si="1"/>
        <v>103.38149999999999</v>
      </c>
      <c r="M12" s="12">
        <f t="shared" si="1"/>
        <v>105.96603749999998</v>
      </c>
      <c r="N12" s="12">
        <f t="shared" si="1"/>
        <v>108.61518843749998</v>
      </c>
      <c r="O12" s="12">
        <f t="shared" si="1"/>
        <v>111.33056814843746</v>
      </c>
      <c r="P12" s="12">
        <f t="shared" si="1"/>
        <v>114.11383235214839</v>
      </c>
      <c r="Q12" s="12">
        <f>+P12*4</f>
        <v>456.45532940859357</v>
      </c>
      <c r="R12" s="12">
        <f>+Q12*(1+R13)</f>
        <v>524.92362881988254</v>
      </c>
      <c r="S12" s="12">
        <f>+R12*(1+S13)</f>
        <v>603.66217314286484</v>
      </c>
      <c r="T12" s="12">
        <f>+S12*(1+T13)</f>
        <v>694.2114991142945</v>
      </c>
      <c r="U12" s="12">
        <f>+T12*(1+U13)</f>
        <v>798.34322398143865</v>
      </c>
      <c r="V12" s="12">
        <f>+U12*(1+V13)</f>
        <v>918.09470757865438</v>
      </c>
    </row>
    <row r="13" spans="1:22" s="2" customFormat="1" x14ac:dyDescent="0.2">
      <c r="A13" s="31"/>
      <c r="B13" s="73" t="s">
        <v>76</v>
      </c>
      <c r="C13" s="146"/>
      <c r="D13" s="146"/>
      <c r="E13" s="191">
        <f t="shared" ref="E13:J13" si="2">(+E12-D12)/D12</f>
        <v>-4.5555555555555495E-2</v>
      </c>
      <c r="F13" s="191">
        <f t="shared" si="2"/>
        <v>4.4237485448195543E-2</v>
      </c>
      <c r="G13" s="191">
        <f t="shared" si="2"/>
        <v>2.5641025641025609E-2</v>
      </c>
      <c r="H13" s="191">
        <f t="shared" si="2"/>
        <v>8.3695652173913074E-2</v>
      </c>
      <c r="I13" s="191">
        <f t="shared" si="2"/>
        <v>-8.0240722166499204E-3</v>
      </c>
      <c r="J13" s="294">
        <f t="shared" si="2"/>
        <v>-5.0556117290192111E-3</v>
      </c>
      <c r="K13" s="77">
        <f t="shared" ref="K13:R13" si="3">+K5</f>
        <v>2.5000000000000001E-2</v>
      </c>
      <c r="L13" s="77">
        <f t="shared" si="3"/>
        <v>2.5000000000000001E-2</v>
      </c>
      <c r="M13" s="77">
        <f t="shared" si="3"/>
        <v>2.5000000000000001E-2</v>
      </c>
      <c r="N13" s="77">
        <f t="shared" si="3"/>
        <v>2.5000000000000001E-2</v>
      </c>
      <c r="O13" s="77">
        <f t="shared" si="3"/>
        <v>2.5000000000000001E-2</v>
      </c>
      <c r="P13" s="77">
        <f t="shared" si="3"/>
        <v>2.5000000000000001E-2</v>
      </c>
      <c r="Q13" s="77">
        <f t="shared" si="3"/>
        <v>0.15</v>
      </c>
      <c r="R13" s="77">
        <f t="shared" si="3"/>
        <v>0.15</v>
      </c>
      <c r="S13" s="77">
        <f>+S5</f>
        <v>0.15</v>
      </c>
      <c r="T13" s="77">
        <f>+T5</f>
        <v>0.15</v>
      </c>
      <c r="U13" s="77">
        <f>+U5</f>
        <v>0.15</v>
      </c>
      <c r="V13" s="77">
        <f>+V5</f>
        <v>0.15</v>
      </c>
    </row>
    <row r="14" spans="1:22" s="111" customFormat="1" x14ac:dyDescent="0.2">
      <c r="A14" s="109"/>
      <c r="B14" s="110" t="s">
        <v>122</v>
      </c>
      <c r="C14" s="107"/>
      <c r="D14" s="107">
        <v>0.39400000000000002</v>
      </c>
      <c r="E14" s="107">
        <v>0.4</v>
      </c>
      <c r="F14" s="107">
        <f t="shared" ref="F14:R14" si="4">+E14</f>
        <v>0.4</v>
      </c>
      <c r="G14" s="107">
        <v>0.43</v>
      </c>
      <c r="H14" s="107">
        <v>0.495</v>
      </c>
      <c r="I14" s="107">
        <v>0.43</v>
      </c>
      <c r="J14" s="293">
        <v>0.42</v>
      </c>
      <c r="K14" s="111">
        <f t="shared" si="4"/>
        <v>0.42</v>
      </c>
      <c r="L14" s="111">
        <f t="shared" si="4"/>
        <v>0.42</v>
      </c>
      <c r="M14" s="111">
        <f t="shared" si="4"/>
        <v>0.42</v>
      </c>
      <c r="N14" s="111">
        <f t="shared" si="4"/>
        <v>0.42</v>
      </c>
      <c r="O14" s="111">
        <f t="shared" si="4"/>
        <v>0.42</v>
      </c>
      <c r="P14" s="111">
        <f t="shared" si="4"/>
        <v>0.42</v>
      </c>
      <c r="Q14" s="111">
        <f t="shared" si="4"/>
        <v>0.42</v>
      </c>
      <c r="R14" s="111">
        <f t="shared" si="4"/>
        <v>0.42</v>
      </c>
      <c r="S14" s="111">
        <f>+R14</f>
        <v>0.42</v>
      </c>
      <c r="T14" s="111">
        <f>+S14</f>
        <v>0.42</v>
      </c>
      <c r="U14" s="111">
        <f>+T14</f>
        <v>0.42</v>
      </c>
      <c r="V14" s="111">
        <f>+U14</f>
        <v>0.42</v>
      </c>
    </row>
    <row r="15" spans="1:22" s="2" customFormat="1" x14ac:dyDescent="0.2">
      <c r="A15" s="31"/>
      <c r="B15" s="26" t="s">
        <v>75</v>
      </c>
      <c r="C15" s="145"/>
      <c r="D15" s="80">
        <f>+D12*D14</f>
        <v>35.46</v>
      </c>
      <c r="E15" s="80">
        <f>+E12*E14</f>
        <v>34.360000000000007</v>
      </c>
      <c r="F15" s="80">
        <f t="shared" ref="F15:R15" si="5">+F12*F14</f>
        <v>35.880000000000003</v>
      </c>
      <c r="G15" s="80">
        <f t="shared" si="5"/>
        <v>39.56</v>
      </c>
      <c r="H15" s="80">
        <f t="shared" si="5"/>
        <v>49.351500000000001</v>
      </c>
      <c r="I15" s="80">
        <f t="shared" si="5"/>
        <v>42.527000000000001</v>
      </c>
      <c r="J15" s="205">
        <f t="shared" si="5"/>
        <v>41.328000000000003</v>
      </c>
      <c r="K15" s="80">
        <f t="shared" si="5"/>
        <v>42.361199999999997</v>
      </c>
      <c r="L15" s="80">
        <f t="shared" si="5"/>
        <v>43.420229999999997</v>
      </c>
      <c r="M15" s="80">
        <f t="shared" si="5"/>
        <v>44.505735749999992</v>
      </c>
      <c r="N15" s="80">
        <f t="shared" si="5"/>
        <v>45.618379143749991</v>
      </c>
      <c r="O15" s="80">
        <f t="shared" si="5"/>
        <v>46.758838622343731</v>
      </c>
      <c r="P15" s="80">
        <f t="shared" si="5"/>
        <v>47.927809587902324</v>
      </c>
      <c r="Q15" s="80">
        <f t="shared" si="5"/>
        <v>191.7112383516093</v>
      </c>
      <c r="R15" s="80">
        <f t="shared" si="5"/>
        <v>220.46792410435066</v>
      </c>
      <c r="S15" s="80">
        <f>+S12*S14</f>
        <v>253.53811272000323</v>
      </c>
      <c r="T15" s="80">
        <f>+T12*T14</f>
        <v>291.5688296280037</v>
      </c>
      <c r="U15" s="80">
        <f>+U12*U14</f>
        <v>335.3041540722042</v>
      </c>
      <c r="V15" s="80">
        <f>+V12*V14</f>
        <v>385.5997771830348</v>
      </c>
    </row>
    <row r="16" spans="1:22" s="2" customFormat="1" x14ac:dyDescent="0.2">
      <c r="A16" s="31"/>
      <c r="B16" s="72"/>
      <c r="C16" s="145"/>
      <c r="D16" s="157"/>
      <c r="E16" s="157"/>
      <c r="F16" s="157"/>
      <c r="G16" s="157"/>
      <c r="H16" s="157"/>
      <c r="I16" s="157"/>
      <c r="J16" s="291"/>
      <c r="K16" s="12"/>
      <c r="L16" s="12"/>
      <c r="M16" s="12"/>
      <c r="N16" s="12"/>
      <c r="O16" s="12"/>
      <c r="P16" s="12"/>
      <c r="Q16" s="12"/>
      <c r="R16" s="12"/>
      <c r="S16" s="12"/>
      <c r="T16" s="12"/>
      <c r="U16" s="12"/>
      <c r="V16" s="12"/>
    </row>
    <row r="17" spans="1:22" s="2" customFormat="1" x14ac:dyDescent="0.2">
      <c r="A17" s="31"/>
      <c r="B17" s="72" t="s">
        <v>74</v>
      </c>
      <c r="C17" s="145"/>
      <c r="D17" s="157">
        <v>223.3</v>
      </c>
      <c r="E17" s="157">
        <f>+E22-E12</f>
        <v>203.20000000000002</v>
      </c>
      <c r="F17" s="157">
        <f>+F22-F12</f>
        <v>196.8</v>
      </c>
      <c r="G17" s="157">
        <f>+G22-G12</f>
        <v>175.7</v>
      </c>
      <c r="H17" s="157">
        <f>+H22-H12</f>
        <v>164.7</v>
      </c>
      <c r="I17" s="157">
        <v>154.4</v>
      </c>
      <c r="J17" s="291">
        <f>243.2-J12</f>
        <v>144.79999999999998</v>
      </c>
      <c r="K17" s="12">
        <f t="shared" ref="K17:R17" si="6">+J17*(1+K18)</f>
        <v>137.55999999999997</v>
      </c>
      <c r="L17" s="12">
        <f t="shared" si="6"/>
        <v>130.68199999999996</v>
      </c>
      <c r="M17" s="12">
        <f t="shared" si="6"/>
        <v>124.14789999999995</v>
      </c>
      <c r="N17" s="12">
        <f t="shared" si="6"/>
        <v>117.94050499999994</v>
      </c>
      <c r="O17" s="12">
        <f t="shared" si="6"/>
        <v>112.04347974999995</v>
      </c>
      <c r="P17" s="12">
        <f t="shared" si="6"/>
        <v>106.44130576249995</v>
      </c>
      <c r="Q17" s="12">
        <f>+P17*4</f>
        <v>425.7652230499998</v>
      </c>
      <c r="R17" s="12">
        <f t="shared" si="6"/>
        <v>361.90043959249982</v>
      </c>
      <c r="S17" s="12">
        <f>+R17*(1+S18)</f>
        <v>325.71039563324985</v>
      </c>
      <c r="T17" s="12">
        <f>+S17*(1+T18)</f>
        <v>309.42487585158733</v>
      </c>
      <c r="U17" s="12">
        <f>+T17*(1+U18)</f>
        <v>309.42487585158733</v>
      </c>
      <c r="V17" s="12">
        <f>+U17*(1+V18)</f>
        <v>309.42487585158733</v>
      </c>
    </row>
    <row r="18" spans="1:22" s="2" customFormat="1" x14ac:dyDescent="0.2">
      <c r="A18" s="31"/>
      <c r="B18" s="73" t="s">
        <v>79</v>
      </c>
      <c r="C18" s="145"/>
      <c r="D18" s="157"/>
      <c r="E18" s="191">
        <f t="shared" ref="E18:J18" si="7">(+E17-D17)/D17</f>
        <v>-9.001343484102102E-2</v>
      </c>
      <c r="F18" s="191">
        <f t="shared" si="7"/>
        <v>-3.1496062992126012E-2</v>
      </c>
      <c r="G18" s="191">
        <f t="shared" si="7"/>
        <v>-0.10721544715447165</v>
      </c>
      <c r="H18" s="191">
        <f t="shared" si="7"/>
        <v>-6.2606715993170178E-2</v>
      </c>
      <c r="I18" s="191">
        <f t="shared" si="7"/>
        <v>-6.2537947783849329E-2</v>
      </c>
      <c r="J18" s="294">
        <f t="shared" si="7"/>
        <v>-6.2176165803108953E-2</v>
      </c>
      <c r="K18" s="78">
        <f t="shared" ref="K18:R18" si="8">+K6</f>
        <v>-0.05</v>
      </c>
      <c r="L18" s="78">
        <f t="shared" si="8"/>
        <v>-0.05</v>
      </c>
      <c r="M18" s="78">
        <f t="shared" si="8"/>
        <v>-0.05</v>
      </c>
      <c r="N18" s="78">
        <f t="shared" si="8"/>
        <v>-0.05</v>
      </c>
      <c r="O18" s="78">
        <f t="shared" si="8"/>
        <v>-0.05</v>
      </c>
      <c r="P18" s="78">
        <f t="shared" si="8"/>
        <v>-0.05</v>
      </c>
      <c r="Q18" s="78">
        <f t="shared" si="8"/>
        <v>-0.15</v>
      </c>
      <c r="R18" s="78">
        <f t="shared" si="8"/>
        <v>-0.15</v>
      </c>
      <c r="S18" s="78">
        <f>+S6</f>
        <v>-0.1</v>
      </c>
      <c r="T18" s="78">
        <f>+T6</f>
        <v>-0.05</v>
      </c>
      <c r="U18" s="78">
        <f>+U6</f>
        <v>0</v>
      </c>
      <c r="V18" s="78">
        <f>+V6</f>
        <v>0</v>
      </c>
    </row>
    <row r="19" spans="1:22" s="111" customFormat="1" x14ac:dyDescent="0.2">
      <c r="A19" s="109"/>
      <c r="B19" s="110" t="s">
        <v>122</v>
      </c>
      <c r="C19" s="147"/>
      <c r="D19" s="107">
        <v>0.5</v>
      </c>
      <c r="E19" s="107">
        <f>+E20/E17</f>
        <v>0.54940944881889753</v>
      </c>
      <c r="F19" s="107">
        <f>+F20/F17</f>
        <v>0.55548780487804872</v>
      </c>
      <c r="G19" s="107">
        <f>+G20/G17</f>
        <v>0.55913488901536723</v>
      </c>
      <c r="H19" s="107">
        <f>+H20/H17</f>
        <v>0.55979659987856722</v>
      </c>
      <c r="I19" s="107">
        <f>+I20/I17</f>
        <v>0.4726230569948186</v>
      </c>
      <c r="J19" s="293">
        <v>0.45500000000000002</v>
      </c>
      <c r="K19" s="107">
        <v>0.53</v>
      </c>
      <c r="L19" s="107">
        <v>0.53</v>
      </c>
      <c r="M19" s="107">
        <v>0.53</v>
      </c>
      <c r="N19" s="107">
        <v>0.53</v>
      </c>
      <c r="O19" s="107">
        <v>0.53</v>
      </c>
      <c r="P19" s="107">
        <v>0.53</v>
      </c>
      <c r="Q19" s="107">
        <v>0.53</v>
      </c>
      <c r="R19" s="107">
        <v>0.53</v>
      </c>
      <c r="S19" s="107">
        <v>0.53</v>
      </c>
      <c r="T19" s="107">
        <v>0.53</v>
      </c>
      <c r="U19" s="107">
        <v>0.53</v>
      </c>
      <c r="V19" s="107">
        <v>0.53</v>
      </c>
    </row>
    <row r="20" spans="1:22" s="2" customFormat="1" x14ac:dyDescent="0.2">
      <c r="A20" s="31"/>
      <c r="B20" s="26" t="s">
        <v>77</v>
      </c>
      <c r="C20" s="145"/>
      <c r="D20" s="80">
        <f>+D17*D19</f>
        <v>111.65</v>
      </c>
      <c r="E20" s="80">
        <f>+E23-E15</f>
        <v>111.63999999999999</v>
      </c>
      <c r="F20" s="80">
        <f>+F23-F15</f>
        <v>109.32</v>
      </c>
      <c r="G20" s="80">
        <f>+G23-G15</f>
        <v>98.240000000000009</v>
      </c>
      <c r="H20" s="80">
        <f>+H23-H15</f>
        <v>92.19850000000001</v>
      </c>
      <c r="I20" s="80">
        <f>+I23-I15</f>
        <v>72.972999999999999</v>
      </c>
      <c r="J20" s="205">
        <f t="shared" ref="J20:R20" si="9">+J17*J19</f>
        <v>65.884</v>
      </c>
      <c r="K20" s="80">
        <f t="shared" si="9"/>
        <v>72.90679999999999</v>
      </c>
      <c r="L20" s="80">
        <f t="shared" si="9"/>
        <v>69.261459999999985</v>
      </c>
      <c r="M20" s="80">
        <f t="shared" si="9"/>
        <v>65.798386999999977</v>
      </c>
      <c r="N20" s="80">
        <f t="shared" si="9"/>
        <v>62.508467649999972</v>
      </c>
      <c r="O20" s="80">
        <f t="shared" si="9"/>
        <v>59.383044267499976</v>
      </c>
      <c r="P20" s="80">
        <f t="shared" si="9"/>
        <v>56.413892054124979</v>
      </c>
      <c r="Q20" s="80">
        <f t="shared" si="9"/>
        <v>225.65556821649992</v>
      </c>
      <c r="R20" s="80">
        <f t="shared" si="9"/>
        <v>191.80723298402492</v>
      </c>
      <c r="S20" s="80">
        <f>+S17*S19</f>
        <v>172.62650968562244</v>
      </c>
      <c r="T20" s="80">
        <f>+T17*T19</f>
        <v>163.99518420134129</v>
      </c>
      <c r="U20" s="80">
        <f>+U17*U19</f>
        <v>163.99518420134129</v>
      </c>
      <c r="V20" s="80">
        <f>+V17*V19</f>
        <v>163.99518420134129</v>
      </c>
    </row>
    <row r="21" spans="1:22" s="2" customFormat="1" x14ac:dyDescent="0.2">
      <c r="A21" s="31"/>
      <c r="B21" s="73"/>
      <c r="C21" s="145"/>
      <c r="D21" s="38"/>
      <c r="E21" s="38"/>
      <c r="F21" s="38"/>
      <c r="G21" s="38"/>
      <c r="H21" s="38"/>
      <c r="I21" s="38"/>
      <c r="J21" s="295"/>
      <c r="K21" s="38"/>
      <c r="L21" s="38"/>
      <c r="M21" s="38"/>
      <c r="N21" s="38"/>
      <c r="O21" s="38"/>
      <c r="P21" s="38"/>
      <c r="Q21" s="38"/>
      <c r="R21" s="38"/>
      <c r="S21" s="38"/>
      <c r="T21" s="38"/>
      <c r="U21" s="38"/>
      <c r="V21" s="38"/>
    </row>
    <row r="22" spans="1:22" s="2" customFormat="1" x14ac:dyDescent="0.2">
      <c r="A22" s="31"/>
      <c r="B22" s="73" t="s">
        <v>80</v>
      </c>
      <c r="C22" s="145"/>
      <c r="D22" s="157">
        <f>+D12+D17</f>
        <v>313.3</v>
      </c>
      <c r="E22" s="157">
        <v>289.10000000000002</v>
      </c>
      <c r="F22" s="157">
        <v>286.5</v>
      </c>
      <c r="G22" s="157">
        <v>267.7</v>
      </c>
      <c r="H22" s="157">
        <v>264.39999999999998</v>
      </c>
      <c r="I22" s="157">
        <f t="shared" ref="I22:R22" si="10">+I12+I17</f>
        <v>253.3</v>
      </c>
      <c r="J22" s="291">
        <f t="shared" si="10"/>
        <v>243.2</v>
      </c>
      <c r="K22" s="12">
        <f t="shared" si="10"/>
        <v>238.41999999999996</v>
      </c>
      <c r="L22" s="12">
        <f t="shared" si="10"/>
        <v>234.06349999999995</v>
      </c>
      <c r="M22" s="12">
        <f t="shared" si="10"/>
        <v>230.11393749999993</v>
      </c>
      <c r="N22" s="12">
        <f t="shared" si="10"/>
        <v>226.55569343749994</v>
      </c>
      <c r="O22" s="12">
        <f t="shared" si="10"/>
        <v>223.37404789843742</v>
      </c>
      <c r="P22" s="12">
        <f t="shared" si="10"/>
        <v>220.55513811464834</v>
      </c>
      <c r="Q22" s="12">
        <f t="shared" si="10"/>
        <v>882.22055245859337</v>
      </c>
      <c r="R22" s="12">
        <f t="shared" si="10"/>
        <v>886.8240684123823</v>
      </c>
      <c r="S22" s="12">
        <f>+S12+S17</f>
        <v>929.37256877611469</v>
      </c>
      <c r="T22" s="12">
        <f>+T12+T17</f>
        <v>1003.6363749658818</v>
      </c>
      <c r="U22" s="12">
        <f>+U12+U17</f>
        <v>1107.7680998330261</v>
      </c>
      <c r="V22" s="12">
        <f>+V12+V17</f>
        <v>1227.5195834302417</v>
      </c>
    </row>
    <row r="23" spans="1:22" s="26" customFormat="1" ht="13.5" thickBot="1" x14ac:dyDescent="0.25">
      <c r="A23" s="32" t="s">
        <v>15</v>
      </c>
      <c r="B23" s="32" t="s">
        <v>112</v>
      </c>
      <c r="C23" s="148"/>
      <c r="D23" s="81">
        <f>+D15+D20</f>
        <v>147.11000000000001</v>
      </c>
      <c r="E23" s="81">
        <v>146</v>
      </c>
      <c r="F23" s="81">
        <v>145.19999999999999</v>
      </c>
      <c r="G23" s="81">
        <v>137.80000000000001</v>
      </c>
      <c r="H23" s="81">
        <v>141.55000000000001</v>
      </c>
      <c r="I23" s="81">
        <v>115.5</v>
      </c>
      <c r="J23" s="208">
        <f t="shared" ref="J23:R23" si="11">+J15+J20</f>
        <v>107.212</v>
      </c>
      <c r="K23" s="81">
        <f t="shared" si="11"/>
        <v>115.26799999999999</v>
      </c>
      <c r="L23" s="81">
        <f t="shared" si="11"/>
        <v>112.68168999999997</v>
      </c>
      <c r="M23" s="81">
        <f t="shared" si="11"/>
        <v>110.30412274999998</v>
      </c>
      <c r="N23" s="81">
        <f t="shared" si="11"/>
        <v>108.12684679374996</v>
      </c>
      <c r="O23" s="81">
        <f t="shared" si="11"/>
        <v>106.14188288984371</v>
      </c>
      <c r="P23" s="81">
        <f t="shared" si="11"/>
        <v>104.3417016420273</v>
      </c>
      <c r="Q23" s="81">
        <f t="shared" si="11"/>
        <v>417.36680656810921</v>
      </c>
      <c r="R23" s="81">
        <f t="shared" si="11"/>
        <v>412.27515708837558</v>
      </c>
      <c r="S23" s="81">
        <f>+S15+S20</f>
        <v>426.16462240562566</v>
      </c>
      <c r="T23" s="81">
        <f>+T15+T20</f>
        <v>455.56401382934496</v>
      </c>
      <c r="U23" s="81">
        <f>+U15+U20</f>
        <v>499.29933827354546</v>
      </c>
      <c r="V23" s="81">
        <f>+V15+V20</f>
        <v>549.59496138437612</v>
      </c>
    </row>
    <row r="24" spans="1:22" s="26" customFormat="1" ht="13.5" thickTop="1" x14ac:dyDescent="0.2">
      <c r="A24" s="32"/>
      <c r="B24" s="26" t="s">
        <v>81</v>
      </c>
      <c r="C24" s="148" t="s">
        <v>125</v>
      </c>
      <c r="D24" s="83">
        <f>+D23/D22</f>
        <v>0.46954995212256628</v>
      </c>
      <c r="E24" s="241">
        <f>+E23/E22</f>
        <v>0.50501556554825311</v>
      </c>
      <c r="F24" s="241">
        <f>+F23/F22</f>
        <v>0.50680628272251305</v>
      </c>
      <c r="G24" s="241">
        <f t="shared" ref="G24:R24" si="12">+G23/G22</f>
        <v>0.51475532312289884</v>
      </c>
      <c r="H24" s="241">
        <f t="shared" si="12"/>
        <v>0.53536308623298046</v>
      </c>
      <c r="I24" s="240">
        <f t="shared" si="12"/>
        <v>0.45598105013817608</v>
      </c>
      <c r="J24" s="350">
        <f t="shared" si="12"/>
        <v>0.4408388157894737</v>
      </c>
      <c r="K24" s="240">
        <f t="shared" si="12"/>
        <v>0.4834661521684423</v>
      </c>
      <c r="L24" s="240">
        <f t="shared" si="12"/>
        <v>0.48141504335361984</v>
      </c>
      <c r="M24" s="251">
        <f t="shared" si="12"/>
        <v>0.47934568391799393</v>
      </c>
      <c r="N24" s="251">
        <f t="shared" si="12"/>
        <v>0.47726386899907675</v>
      </c>
      <c r="O24" s="251">
        <f t="shared" si="12"/>
        <v>0.47517553578159522</v>
      </c>
      <c r="P24" s="251">
        <f t="shared" si="12"/>
        <v>0.47308669629718031</v>
      </c>
      <c r="Q24" s="276">
        <f t="shared" si="12"/>
        <v>0.47308669629718031</v>
      </c>
      <c r="R24" s="241">
        <f t="shared" si="12"/>
        <v>0.46488945414668581</v>
      </c>
      <c r="S24" s="276">
        <f>+S23/S22</f>
        <v>0.45855089414446498</v>
      </c>
      <c r="T24" s="241">
        <f>+T23/T22</f>
        <v>0.4539134144523525</v>
      </c>
      <c r="U24" s="276">
        <f>+U23/U22</f>
        <v>0.45072550685365004</v>
      </c>
      <c r="V24" s="241">
        <f>+V23/V22</f>
        <v>0.44772805974187446</v>
      </c>
    </row>
    <row r="25" spans="1:22" s="2" customFormat="1" x14ac:dyDescent="0.2">
      <c r="A25" s="31"/>
      <c r="B25" s="103"/>
      <c r="C25" s="145"/>
      <c r="D25" s="149"/>
      <c r="E25" s="149"/>
      <c r="F25" s="149"/>
      <c r="G25" s="149"/>
      <c r="H25" s="149"/>
      <c r="I25" s="149"/>
      <c r="J25" s="290"/>
    </row>
    <row r="26" spans="1:22" s="26" customFormat="1" x14ac:dyDescent="0.2">
      <c r="A26" s="32"/>
      <c r="B26" s="25"/>
      <c r="C26" s="148"/>
      <c r="D26" s="38"/>
      <c r="E26" s="38"/>
      <c r="F26" s="38"/>
      <c r="G26" s="38"/>
      <c r="H26" s="38"/>
      <c r="I26" s="38"/>
      <c r="J26" s="295"/>
      <c r="K26" s="38"/>
      <c r="L26" s="38"/>
      <c r="M26" s="38"/>
      <c r="N26" s="38"/>
      <c r="O26" s="38"/>
      <c r="P26" s="38"/>
      <c r="Q26" s="38"/>
      <c r="R26" s="38"/>
      <c r="S26" s="38"/>
      <c r="T26" s="38"/>
      <c r="U26" s="38"/>
      <c r="V26" s="38"/>
    </row>
    <row r="27" spans="1:22" s="2" customFormat="1" x14ac:dyDescent="0.2">
      <c r="A27" s="31"/>
      <c r="B27" s="53" t="s">
        <v>47</v>
      </c>
      <c r="C27" s="149"/>
      <c r="D27" s="157"/>
      <c r="E27" s="157"/>
      <c r="F27" s="157"/>
      <c r="G27" s="157"/>
      <c r="H27" s="157"/>
      <c r="I27" s="157"/>
      <c r="J27" s="291"/>
      <c r="K27" s="12"/>
      <c r="L27" s="12"/>
      <c r="M27" s="12"/>
      <c r="N27" s="12"/>
      <c r="O27" s="12"/>
      <c r="P27" s="12"/>
      <c r="Q27" s="12"/>
      <c r="R27" s="12"/>
      <c r="S27" s="12"/>
      <c r="T27" s="12"/>
      <c r="U27" s="12"/>
      <c r="V27" s="12"/>
    </row>
    <row r="28" spans="1:22" s="2" customFormat="1" x14ac:dyDescent="0.2">
      <c r="A28" s="31"/>
      <c r="B28" s="25" t="s">
        <v>17</v>
      </c>
      <c r="C28" s="149"/>
      <c r="D28" s="157"/>
      <c r="E28" s="157"/>
      <c r="F28" s="157"/>
      <c r="G28" s="157"/>
      <c r="H28" s="157"/>
      <c r="I28" s="157"/>
      <c r="J28" s="291"/>
      <c r="K28" s="12"/>
      <c r="L28" s="12"/>
      <c r="M28" s="12"/>
      <c r="N28" s="12"/>
      <c r="O28" s="12"/>
      <c r="P28" s="12"/>
      <c r="Q28" s="12"/>
      <c r="R28" s="12"/>
      <c r="S28" s="12"/>
      <c r="T28" s="12"/>
      <c r="U28" s="12"/>
      <c r="V28" s="12"/>
    </row>
    <row r="29" spans="1:22" s="2" customFormat="1" x14ac:dyDescent="0.2">
      <c r="A29" s="31"/>
      <c r="B29" s="1" t="s">
        <v>89</v>
      </c>
      <c r="C29" s="149"/>
      <c r="D29" s="157">
        <v>3.3250000000000002</v>
      </c>
      <c r="E29" s="157">
        <v>2.0699999999999998</v>
      </c>
      <c r="F29" s="157">
        <v>1.7825</v>
      </c>
      <c r="G29" s="157">
        <v>1.4950000000000001</v>
      </c>
      <c r="H29" s="157">
        <v>1.2075</v>
      </c>
      <c r="I29" s="157"/>
      <c r="J29" s="291"/>
      <c r="K29" s="12"/>
      <c r="L29" s="12"/>
      <c r="M29" s="12"/>
      <c r="N29" s="12"/>
      <c r="O29" s="12"/>
      <c r="P29" s="12"/>
      <c r="Q29" s="12"/>
      <c r="R29" s="12"/>
      <c r="S29" s="12"/>
      <c r="T29" s="12"/>
      <c r="U29" s="12"/>
      <c r="V29" s="12"/>
    </row>
    <row r="30" spans="1:22" s="2" customFormat="1" x14ac:dyDescent="0.2">
      <c r="A30" s="31"/>
      <c r="B30" s="1" t="s">
        <v>90</v>
      </c>
      <c r="C30" s="149"/>
      <c r="D30" s="157"/>
      <c r="E30" s="157">
        <v>2.629</v>
      </c>
      <c r="F30" s="157">
        <v>2.629</v>
      </c>
      <c r="G30" s="157">
        <v>2.629</v>
      </c>
      <c r="H30" s="157">
        <v>2.629</v>
      </c>
      <c r="I30" s="157"/>
      <c r="J30" s="291"/>
      <c r="K30" s="12"/>
      <c r="L30" s="12"/>
      <c r="M30" s="12"/>
      <c r="N30" s="12"/>
      <c r="O30" s="12"/>
      <c r="P30" s="12"/>
      <c r="Q30" s="12"/>
      <c r="R30" s="12"/>
      <c r="S30" s="12"/>
      <c r="T30" s="12"/>
      <c r="U30" s="12"/>
      <c r="V30" s="12"/>
    </row>
    <row r="31" spans="1:22" s="2" customFormat="1" x14ac:dyDescent="0.2">
      <c r="A31" s="31"/>
      <c r="B31" s="1" t="s">
        <v>25</v>
      </c>
      <c r="C31" s="187"/>
      <c r="D31" s="157">
        <v>0</v>
      </c>
      <c r="E31" s="157">
        <v>0</v>
      </c>
      <c r="F31" s="157"/>
      <c r="G31" s="157"/>
      <c r="H31" s="157"/>
      <c r="I31" s="157"/>
      <c r="J31" s="291"/>
      <c r="K31" s="12"/>
      <c r="L31" s="12"/>
      <c r="M31" s="12"/>
      <c r="N31" s="12"/>
      <c r="O31" s="12"/>
      <c r="P31" s="12"/>
      <c r="Q31" s="12"/>
      <c r="R31" s="12"/>
      <c r="S31" s="12"/>
      <c r="T31" s="12"/>
      <c r="U31" s="12"/>
      <c r="V31" s="12"/>
    </row>
    <row r="32" spans="1:22" s="2" customFormat="1" x14ac:dyDescent="0.2">
      <c r="A32" s="31"/>
      <c r="B32" s="1" t="s">
        <v>34</v>
      </c>
      <c r="C32" s="149"/>
      <c r="D32" s="157">
        <v>2.875</v>
      </c>
      <c r="E32" s="157">
        <v>2.875</v>
      </c>
      <c r="F32" s="157">
        <v>2.875</v>
      </c>
      <c r="G32" s="157">
        <v>2.875</v>
      </c>
      <c r="H32" s="157">
        <v>2.875</v>
      </c>
      <c r="I32" s="157"/>
      <c r="J32" s="291"/>
      <c r="K32" s="12"/>
      <c r="L32" s="12"/>
      <c r="M32" s="12"/>
      <c r="N32" s="12"/>
      <c r="O32" s="12"/>
      <c r="P32" s="12"/>
      <c r="Q32" s="12"/>
      <c r="R32" s="12"/>
      <c r="S32" s="12"/>
      <c r="T32" s="12"/>
      <c r="U32" s="12"/>
      <c r="V32" s="12"/>
    </row>
    <row r="33" spans="1:22" s="2" customFormat="1" x14ac:dyDescent="0.2">
      <c r="A33" s="31"/>
      <c r="B33" s="19" t="s">
        <v>14</v>
      </c>
      <c r="C33" s="149"/>
      <c r="D33" s="157">
        <v>29.359500000000001</v>
      </c>
      <c r="E33" s="157">
        <v>25.359500000000001</v>
      </c>
      <c r="F33" s="157">
        <v>19.759499999999999</v>
      </c>
      <c r="G33" s="157">
        <v>27.929500000000001</v>
      </c>
      <c r="H33" s="157">
        <v>22.459499999999998</v>
      </c>
      <c r="I33" s="157"/>
      <c r="J33" s="291"/>
      <c r="K33" s="12"/>
      <c r="L33" s="12"/>
      <c r="M33" s="12"/>
      <c r="N33" s="12"/>
      <c r="O33" s="12"/>
      <c r="P33" s="12"/>
      <c r="Q33" s="12"/>
      <c r="R33" s="12"/>
      <c r="S33" s="12"/>
      <c r="T33" s="12"/>
      <c r="U33" s="12"/>
      <c r="V33" s="12"/>
    </row>
    <row r="34" spans="1:22" s="2" customFormat="1" x14ac:dyDescent="0.2">
      <c r="A34" s="31"/>
      <c r="B34" s="19"/>
      <c r="C34" s="149"/>
      <c r="D34" s="157"/>
      <c r="E34" s="157"/>
      <c r="F34" s="157"/>
      <c r="G34" s="157"/>
      <c r="H34" s="157"/>
      <c r="I34" s="157"/>
      <c r="J34" s="291"/>
      <c r="K34" s="12"/>
      <c r="L34" s="12"/>
      <c r="M34" s="12"/>
      <c r="N34" s="12"/>
      <c r="O34" s="12"/>
      <c r="P34" s="12"/>
      <c r="Q34" s="12"/>
      <c r="R34" s="12"/>
      <c r="S34" s="12"/>
      <c r="T34" s="12"/>
      <c r="U34" s="12"/>
      <c r="V34" s="12"/>
    </row>
    <row r="35" spans="1:22" s="2" customFormat="1" x14ac:dyDescent="0.2">
      <c r="A35" s="31"/>
      <c r="B35" s="19" t="s">
        <v>134</v>
      </c>
      <c r="C35" s="149"/>
      <c r="D35" s="157"/>
      <c r="E35" s="157"/>
      <c r="F35" s="157"/>
      <c r="G35" s="157"/>
      <c r="H35" s="157"/>
      <c r="I35" s="157">
        <f>14-I36</f>
        <v>14</v>
      </c>
      <c r="J35" s="291">
        <f>22.4-J36</f>
        <v>18.119999999999997</v>
      </c>
      <c r="K35" s="12">
        <f t="shared" ref="K35:P35" si="13">(+J80-107.5)*(0.0925/4)</f>
        <v>17.889500000000002</v>
      </c>
      <c r="L35" s="12">
        <f t="shared" si="13"/>
        <v>17.889500000000002</v>
      </c>
      <c r="M35" s="12">
        <f t="shared" si="13"/>
        <v>15.666196015625001</v>
      </c>
      <c r="N35" s="12">
        <f t="shared" si="13"/>
        <v>15.666196015625001</v>
      </c>
      <c r="O35" s="12">
        <f t="shared" si="13"/>
        <v>13.755779928513185</v>
      </c>
      <c r="P35" s="12">
        <f t="shared" si="13"/>
        <v>13.755779928513185</v>
      </c>
      <c r="Q35" s="12">
        <f>(+P80-107.5)*(0.0925)</f>
        <v>47.075051173378014</v>
      </c>
      <c r="R35" s="12">
        <f>(+Q80-107.5)*(0.0925)</f>
        <v>31.740546696305934</v>
      </c>
      <c r="S35" s="12">
        <f>(+R80-107.5)*(0.0925)</f>
        <v>16.707556165796454</v>
      </c>
      <c r="T35" s="12">
        <f>(+S80-107.5)*(0.0925)</f>
        <v>4.5714675698466225</v>
      </c>
      <c r="U35" s="12"/>
      <c r="V35" s="12"/>
    </row>
    <row r="36" spans="1:22" s="2" customFormat="1" x14ac:dyDescent="0.2">
      <c r="A36" s="31"/>
      <c r="B36" s="19" t="s">
        <v>135</v>
      </c>
      <c r="C36" s="149"/>
      <c r="D36" s="157"/>
      <c r="E36" s="157"/>
      <c r="F36" s="157"/>
      <c r="G36" s="157"/>
      <c r="H36" s="157"/>
      <c r="I36" s="157"/>
      <c r="J36" s="291">
        <f>107*0.04</f>
        <v>4.28</v>
      </c>
      <c r="K36" s="12"/>
      <c r="L36" s="12">
        <f>107*0.04</f>
        <v>4.28</v>
      </c>
      <c r="M36" s="12"/>
      <c r="N36" s="12">
        <f>107*0.04</f>
        <v>4.28</v>
      </c>
      <c r="O36" s="12"/>
      <c r="P36" s="12">
        <f>+N36</f>
        <v>4.28</v>
      </c>
      <c r="Q36" s="12">
        <f t="shared" ref="Q36:V36" si="14">107.5*0.08</f>
        <v>8.6</v>
      </c>
      <c r="R36" s="12">
        <f t="shared" si="14"/>
        <v>8.6</v>
      </c>
      <c r="S36" s="12">
        <f t="shared" si="14"/>
        <v>8.6</v>
      </c>
      <c r="T36" s="12">
        <f t="shared" si="14"/>
        <v>8.6</v>
      </c>
      <c r="U36" s="12">
        <f t="shared" si="14"/>
        <v>8.6</v>
      </c>
      <c r="V36" s="12">
        <f t="shared" si="14"/>
        <v>8.6</v>
      </c>
    </row>
    <row r="37" spans="1:22" s="2" customFormat="1" x14ac:dyDescent="0.2">
      <c r="A37" s="31"/>
      <c r="B37" s="19"/>
      <c r="C37" s="149"/>
      <c r="D37" s="157"/>
      <c r="E37" s="157"/>
      <c r="F37" s="157"/>
      <c r="G37" s="157"/>
      <c r="H37" s="157"/>
      <c r="I37" s="157"/>
      <c r="J37" s="291"/>
      <c r="K37" s="12"/>
      <c r="L37" s="12"/>
      <c r="M37" s="12"/>
      <c r="N37" s="12"/>
      <c r="O37" s="12"/>
      <c r="P37" s="12"/>
      <c r="Q37" s="12"/>
      <c r="R37" s="12"/>
      <c r="S37" s="12"/>
      <c r="T37" s="12"/>
      <c r="U37" s="12"/>
      <c r="V37" s="12"/>
    </row>
    <row r="38" spans="1:22" s="2" customFormat="1" x14ac:dyDescent="0.2">
      <c r="A38" s="31" t="s">
        <v>119</v>
      </c>
      <c r="B38" s="19" t="s">
        <v>115</v>
      </c>
      <c r="C38" s="149"/>
      <c r="D38" s="157"/>
      <c r="E38" s="157">
        <v>1.9</v>
      </c>
      <c r="F38" s="157">
        <f>7.4-E38</f>
        <v>5.5</v>
      </c>
      <c r="G38" s="157"/>
      <c r="H38" s="157">
        <v>17.899999999999999</v>
      </c>
      <c r="I38" s="157">
        <f>5.6+0.15</f>
        <v>5.75</v>
      </c>
      <c r="J38" s="291">
        <v>0</v>
      </c>
      <c r="K38" s="12"/>
      <c r="L38" s="12"/>
      <c r="M38" s="12"/>
      <c r="N38" s="12"/>
      <c r="O38" s="12"/>
      <c r="P38" s="12"/>
      <c r="Q38" s="12"/>
      <c r="R38" s="12"/>
      <c r="S38" s="12"/>
      <c r="T38" s="12"/>
      <c r="U38" s="12"/>
      <c r="V38" s="12"/>
    </row>
    <row r="39" spans="1:22" s="2" customFormat="1" x14ac:dyDescent="0.2">
      <c r="A39" s="31"/>
      <c r="B39" s="25"/>
      <c r="C39" s="149"/>
      <c r="D39" s="157"/>
      <c r="E39" s="157"/>
      <c r="F39" s="157"/>
      <c r="G39" s="157"/>
      <c r="H39" s="157"/>
      <c r="I39" s="157"/>
      <c r="J39" s="291"/>
      <c r="K39" s="12"/>
      <c r="L39" s="12"/>
      <c r="M39" s="12"/>
      <c r="N39" s="12"/>
      <c r="O39" s="12"/>
      <c r="P39" s="12"/>
      <c r="Q39" s="12"/>
      <c r="R39" s="12"/>
      <c r="S39" s="12"/>
      <c r="T39" s="12"/>
      <c r="U39" s="12"/>
      <c r="V39" s="12"/>
    </row>
    <row r="40" spans="1:22" s="2" customFormat="1" x14ac:dyDescent="0.2">
      <c r="A40" s="31"/>
      <c r="B40" s="25" t="s">
        <v>117</v>
      </c>
      <c r="C40" s="149"/>
      <c r="D40" s="157">
        <v>27.3</v>
      </c>
      <c r="E40" s="192">
        <v>29.8</v>
      </c>
      <c r="F40" s="157">
        <v>31.7</v>
      </c>
      <c r="G40" s="157">
        <v>5.6</v>
      </c>
      <c r="H40" s="157">
        <f>63.5-(E40+F40+G40)</f>
        <v>-3.5999999999999943</v>
      </c>
      <c r="I40" s="157">
        <v>16</v>
      </c>
      <c r="J40" s="291">
        <f>21.3-I40</f>
        <v>5.3000000000000007</v>
      </c>
      <c r="K40" s="12">
        <v>16</v>
      </c>
      <c r="L40" s="12">
        <f>+K40</f>
        <v>16</v>
      </c>
      <c r="M40" s="12">
        <v>20</v>
      </c>
      <c r="N40" s="12">
        <f>+M40</f>
        <v>20</v>
      </c>
      <c r="O40" s="12">
        <f>+N40</f>
        <v>20</v>
      </c>
      <c r="P40" s="12">
        <f>+O40</f>
        <v>20</v>
      </c>
      <c r="Q40" s="12">
        <f>+P40*4</f>
        <v>80</v>
      </c>
      <c r="R40" s="12">
        <f>+Q40</f>
        <v>80</v>
      </c>
      <c r="S40" s="12">
        <f>+R40</f>
        <v>80</v>
      </c>
      <c r="T40" s="12">
        <f>+S40</f>
        <v>80</v>
      </c>
      <c r="U40" s="12">
        <f>+T40</f>
        <v>80</v>
      </c>
      <c r="V40" s="12">
        <f>+U40</f>
        <v>80</v>
      </c>
    </row>
    <row r="41" spans="1:22" s="2" customFormat="1" x14ac:dyDescent="0.2">
      <c r="A41" s="31"/>
      <c r="C41" s="149"/>
      <c r="D41" s="157"/>
      <c r="E41" s="157"/>
      <c r="F41" s="157"/>
      <c r="G41" s="157"/>
      <c r="H41" s="157"/>
      <c r="I41" s="157"/>
      <c r="J41" s="291"/>
      <c r="K41" s="12"/>
      <c r="L41" s="12"/>
      <c r="M41" s="12"/>
      <c r="N41" s="12"/>
      <c r="O41" s="12"/>
      <c r="P41" s="12"/>
      <c r="Q41" s="12"/>
      <c r="R41" s="12"/>
      <c r="S41" s="12"/>
      <c r="T41" s="12"/>
      <c r="U41" s="12"/>
      <c r="V41" s="12"/>
    </row>
    <row r="42" spans="1:22" s="2" customFormat="1" x14ac:dyDescent="0.2">
      <c r="A42" s="31"/>
      <c r="B42" s="25" t="s">
        <v>71</v>
      </c>
      <c r="C42" s="149"/>
      <c r="D42" s="157">
        <v>14.7</v>
      </c>
      <c r="E42" s="157">
        <v>8.1999999999999993</v>
      </c>
      <c r="F42" s="157">
        <f>16.9-E42</f>
        <v>8.6999999999999993</v>
      </c>
      <c r="G42" s="157">
        <f>-SUM(E42:F42)+24.8</f>
        <v>7.9000000000000021</v>
      </c>
      <c r="H42" s="157">
        <v>15.4</v>
      </c>
      <c r="I42" s="157">
        <v>18.7</v>
      </c>
      <c r="J42" s="291">
        <f>40.3-I42</f>
        <v>21.599999999999998</v>
      </c>
      <c r="K42" s="12">
        <v>13</v>
      </c>
      <c r="L42" s="12">
        <f>+K42</f>
        <v>13</v>
      </c>
      <c r="M42" s="12">
        <f>+L42</f>
        <v>13</v>
      </c>
      <c r="N42" s="12">
        <f>+M42</f>
        <v>13</v>
      </c>
      <c r="O42" s="12">
        <f>+N42</f>
        <v>13</v>
      </c>
      <c r="P42" s="12">
        <f>+O42</f>
        <v>13</v>
      </c>
      <c r="Q42" s="12">
        <f>+P42*4</f>
        <v>52</v>
      </c>
      <c r="R42" s="12">
        <f>+Q42</f>
        <v>52</v>
      </c>
      <c r="S42" s="12">
        <f>+R42</f>
        <v>52</v>
      </c>
      <c r="T42" s="12">
        <f>+S42</f>
        <v>52</v>
      </c>
      <c r="U42" s="12">
        <f>+T42</f>
        <v>52</v>
      </c>
      <c r="V42" s="12">
        <f>+U42</f>
        <v>52</v>
      </c>
    </row>
    <row r="43" spans="1:22" s="2" customFormat="1" x14ac:dyDescent="0.2">
      <c r="A43" s="31" t="s">
        <v>119</v>
      </c>
      <c r="B43" s="25" t="s">
        <v>116</v>
      </c>
      <c r="C43" s="149"/>
      <c r="D43" s="157">
        <v>0</v>
      </c>
      <c r="E43" s="157">
        <v>13.036</v>
      </c>
      <c r="F43" s="157">
        <v>0</v>
      </c>
      <c r="G43" s="157">
        <v>3.6</v>
      </c>
      <c r="H43" s="157">
        <f>14.526-E43-F43-G43</f>
        <v>-2.11</v>
      </c>
      <c r="I43" s="157">
        <v>1.8</v>
      </c>
      <c r="J43" s="291">
        <f>3.3-I43</f>
        <v>1.4999999999999998</v>
      </c>
      <c r="K43" s="12">
        <v>0</v>
      </c>
      <c r="L43" s="12">
        <v>0</v>
      </c>
      <c r="M43" s="27">
        <v>13</v>
      </c>
      <c r="N43" s="12">
        <v>0</v>
      </c>
      <c r="O43" s="12">
        <v>0</v>
      </c>
      <c r="P43" s="12">
        <v>0</v>
      </c>
      <c r="Q43" s="27">
        <v>13</v>
      </c>
      <c r="R43" s="27">
        <v>13</v>
      </c>
      <c r="S43" s="12">
        <v>0</v>
      </c>
      <c r="T43" s="12">
        <v>0</v>
      </c>
      <c r="U43" s="12">
        <v>0</v>
      </c>
      <c r="V43" s="12">
        <v>0</v>
      </c>
    </row>
    <row r="44" spans="1:22" s="2" customFormat="1" x14ac:dyDescent="0.2">
      <c r="A44" s="31" t="s">
        <v>119</v>
      </c>
      <c r="B44" s="25" t="s">
        <v>118</v>
      </c>
      <c r="C44" s="149"/>
      <c r="D44" s="157"/>
      <c r="E44" s="157">
        <f>42.736+(315.3-310.1)</f>
        <v>47.935999999999986</v>
      </c>
      <c r="F44" s="157">
        <f>30.4-E44-0.7</f>
        <v>-18.235999999999986</v>
      </c>
      <c r="G44" s="157">
        <f>-SUM(E44:F44)+43.577</f>
        <v>13.876999999999999</v>
      </c>
      <c r="H44" s="157">
        <f>14.529-E44-F44-G44</f>
        <v>-29.047999999999995</v>
      </c>
      <c r="I44" s="157">
        <v>-12.2</v>
      </c>
      <c r="J44" s="291">
        <f>-24-I44</f>
        <v>-11.8</v>
      </c>
      <c r="K44" s="12"/>
      <c r="L44" s="12"/>
      <c r="M44" s="12"/>
      <c r="N44" s="12"/>
      <c r="O44" s="12"/>
      <c r="P44" s="12"/>
      <c r="Q44" s="12"/>
      <c r="R44" s="12"/>
      <c r="S44" s="12"/>
      <c r="T44" s="12"/>
      <c r="U44" s="12"/>
      <c r="V44" s="12"/>
    </row>
    <row r="45" spans="1:22" s="2" customFormat="1" x14ac:dyDescent="0.2">
      <c r="A45" s="31"/>
      <c r="B45" s="25" t="s">
        <v>169</v>
      </c>
      <c r="C45" s="149"/>
      <c r="D45" s="157"/>
      <c r="E45" s="157"/>
      <c r="F45" s="157"/>
      <c r="G45" s="157"/>
      <c r="H45" s="157"/>
      <c r="I45" s="157"/>
      <c r="J45" s="291">
        <v>2.4</v>
      </c>
      <c r="K45" s="12"/>
      <c r="L45" s="12"/>
      <c r="M45" s="12"/>
      <c r="N45" s="12"/>
      <c r="O45" s="12"/>
      <c r="P45" s="12"/>
      <c r="Q45" s="12"/>
      <c r="R45" s="12"/>
      <c r="S45" s="12"/>
      <c r="T45" s="12"/>
      <c r="U45" s="12"/>
      <c r="V45" s="12"/>
    </row>
    <row r="46" spans="1:22" s="2" customFormat="1" x14ac:dyDescent="0.2">
      <c r="A46" s="31"/>
      <c r="B46" s="25"/>
      <c r="C46" s="149"/>
      <c r="D46" s="157"/>
      <c r="E46" s="157"/>
      <c r="F46" s="157"/>
      <c r="G46" s="157"/>
      <c r="H46" s="157"/>
      <c r="I46" s="157"/>
      <c r="J46" s="291"/>
      <c r="K46" s="12"/>
      <c r="L46" s="12"/>
      <c r="M46" s="12"/>
      <c r="N46" s="12"/>
      <c r="O46" s="12"/>
      <c r="P46" s="12"/>
      <c r="Q46" s="12"/>
      <c r="R46" s="12"/>
      <c r="S46" s="12"/>
      <c r="T46" s="12"/>
      <c r="U46" s="12"/>
      <c r="V46" s="12"/>
    </row>
    <row r="47" spans="1:22" s="2" customFormat="1" x14ac:dyDescent="0.2">
      <c r="A47" s="31"/>
      <c r="B47" s="25" t="s">
        <v>132</v>
      </c>
      <c r="C47" s="149"/>
      <c r="D47" s="157"/>
      <c r="E47" s="157"/>
      <c r="F47" s="157"/>
      <c r="G47" s="157">
        <v>26.8</v>
      </c>
      <c r="H47" s="157">
        <v>-21.2</v>
      </c>
      <c r="I47" s="157">
        <v>6.2</v>
      </c>
      <c r="J47" s="291">
        <v>0</v>
      </c>
      <c r="K47" s="12"/>
      <c r="L47" s="12"/>
      <c r="M47" s="12"/>
      <c r="N47" s="12"/>
      <c r="O47" s="12"/>
      <c r="P47" s="12"/>
      <c r="Q47" s="12"/>
      <c r="R47" s="12"/>
      <c r="S47" s="12"/>
      <c r="T47" s="12"/>
      <c r="U47" s="12"/>
      <c r="V47" s="12"/>
    </row>
    <row r="48" spans="1:22" s="2" customFormat="1" x14ac:dyDescent="0.2">
      <c r="A48" s="31"/>
      <c r="B48" s="25" t="s">
        <v>131</v>
      </c>
      <c r="C48" s="149"/>
      <c r="D48" s="157"/>
      <c r="E48" s="157"/>
      <c r="F48" s="157"/>
      <c r="G48" s="157">
        <v>16.305</v>
      </c>
      <c r="H48" s="157">
        <f>63-G48</f>
        <v>46.695</v>
      </c>
      <c r="I48" s="157">
        <v>4.2</v>
      </c>
      <c r="J48" s="291">
        <v>2.4</v>
      </c>
      <c r="K48" s="12"/>
      <c r="L48" s="12"/>
      <c r="M48" s="12"/>
      <c r="N48" s="12"/>
      <c r="O48" s="12"/>
      <c r="P48" s="12"/>
      <c r="Q48" s="12"/>
      <c r="R48" s="12"/>
      <c r="S48" s="12"/>
      <c r="T48" s="12"/>
      <c r="U48" s="12"/>
      <c r="V48" s="12"/>
    </row>
    <row r="49" spans="1:22" s="2" customFormat="1" x14ac:dyDescent="0.2">
      <c r="A49" s="31"/>
      <c r="B49" s="25" t="s">
        <v>102</v>
      </c>
      <c r="C49" s="149"/>
      <c r="D49" s="157">
        <v>2.9</v>
      </c>
      <c r="E49" s="157">
        <v>0</v>
      </c>
      <c r="F49" s="157"/>
      <c r="G49" s="157"/>
      <c r="H49" s="157"/>
      <c r="I49" s="157"/>
      <c r="J49" s="291"/>
      <c r="K49" s="12"/>
      <c r="L49" s="12"/>
      <c r="M49" s="12"/>
      <c r="N49" s="12"/>
      <c r="O49" s="12"/>
      <c r="P49" s="12"/>
      <c r="Q49" s="12"/>
      <c r="R49" s="12"/>
      <c r="S49" s="12"/>
      <c r="T49" s="12"/>
      <c r="U49" s="12"/>
      <c r="V49" s="12"/>
    </row>
    <row r="50" spans="1:22" s="2" customFormat="1" x14ac:dyDescent="0.2">
      <c r="A50" s="31"/>
      <c r="B50" s="2" t="s">
        <v>103</v>
      </c>
      <c r="C50" s="149"/>
      <c r="D50" s="157">
        <v>0.5</v>
      </c>
      <c r="E50" s="157"/>
      <c r="F50" s="157"/>
      <c r="G50" s="157">
        <v>-1.6</v>
      </c>
      <c r="H50" s="157"/>
      <c r="I50" s="38">
        <v>3.2</v>
      </c>
      <c r="J50" s="291">
        <v>3.6</v>
      </c>
      <c r="K50" s="12"/>
      <c r="L50" s="12"/>
      <c r="M50" s="12"/>
      <c r="N50" s="12"/>
      <c r="O50" s="12"/>
      <c r="P50" s="12"/>
      <c r="Q50" s="12"/>
      <c r="R50" s="12"/>
      <c r="S50" s="12"/>
      <c r="T50" s="12"/>
      <c r="U50" s="12"/>
      <c r="V50" s="12"/>
    </row>
    <row r="51" spans="1:22" s="2" customFormat="1" x14ac:dyDescent="0.2">
      <c r="A51" s="31"/>
      <c r="B51" s="25" t="s">
        <v>19</v>
      </c>
      <c r="C51" s="150" t="s">
        <v>107</v>
      </c>
      <c r="D51" s="157">
        <v>10</v>
      </c>
      <c r="E51" s="157">
        <v>0</v>
      </c>
      <c r="F51" s="157">
        <v>0</v>
      </c>
      <c r="G51" s="157">
        <f t="shared" ref="G51:P51" si="15">+F51</f>
        <v>0</v>
      </c>
      <c r="H51" s="157">
        <f t="shared" si="15"/>
        <v>0</v>
      </c>
      <c r="I51" s="157">
        <f t="shared" si="15"/>
        <v>0</v>
      </c>
      <c r="J51" s="291">
        <f t="shared" si="15"/>
        <v>0</v>
      </c>
      <c r="K51" s="12">
        <f t="shared" si="15"/>
        <v>0</v>
      </c>
      <c r="L51" s="12">
        <f t="shared" si="15"/>
        <v>0</v>
      </c>
      <c r="M51" s="12">
        <f t="shared" si="15"/>
        <v>0</v>
      </c>
      <c r="N51" s="12">
        <f t="shared" si="15"/>
        <v>0</v>
      </c>
      <c r="O51" s="12">
        <f t="shared" si="15"/>
        <v>0</v>
      </c>
      <c r="P51" s="12">
        <f t="shared" si="15"/>
        <v>0</v>
      </c>
      <c r="Q51" s="12">
        <f>+P51*4</f>
        <v>0</v>
      </c>
      <c r="R51" s="12">
        <f>+Q51</f>
        <v>0</v>
      </c>
      <c r="S51" s="12">
        <f>+R51</f>
        <v>0</v>
      </c>
      <c r="T51" s="12">
        <f>+S51</f>
        <v>0</v>
      </c>
      <c r="U51" s="12">
        <f>+T51</f>
        <v>0</v>
      </c>
      <c r="V51" s="12">
        <f>+U51</f>
        <v>0</v>
      </c>
    </row>
    <row r="52" spans="1:22" s="2" customFormat="1" x14ac:dyDescent="0.2">
      <c r="A52" s="31"/>
      <c r="C52" s="150"/>
      <c r="D52" s="13"/>
      <c r="E52" s="13"/>
      <c r="F52" s="13"/>
      <c r="G52" s="13"/>
      <c r="H52" s="13"/>
      <c r="I52" s="13"/>
      <c r="J52" s="296"/>
      <c r="K52" s="13"/>
      <c r="L52" s="13"/>
      <c r="M52" s="13"/>
      <c r="N52" s="13"/>
      <c r="O52" s="13"/>
      <c r="P52" s="13"/>
      <c r="Q52" s="13"/>
      <c r="R52" s="13"/>
      <c r="S52" s="13"/>
      <c r="T52" s="13"/>
      <c r="U52" s="13"/>
      <c r="V52" s="13"/>
    </row>
    <row r="53" spans="1:22" s="26" customFormat="1" x14ac:dyDescent="0.2">
      <c r="A53" s="32" t="s">
        <v>40</v>
      </c>
      <c r="B53" s="25" t="s">
        <v>21</v>
      </c>
      <c r="C53" s="151"/>
      <c r="D53" s="38">
        <f>SUM(D28:D52)</f>
        <v>90.959500000000006</v>
      </c>
      <c r="E53" s="38">
        <f>SUM(E28:E52)</f>
        <v>133.80549999999999</v>
      </c>
      <c r="F53" s="38">
        <f t="shared" ref="F53:R53" si="16">SUM(F28:F52)</f>
        <v>54.710000000000008</v>
      </c>
      <c r="G53" s="38">
        <f t="shared" si="16"/>
        <v>107.41050000000001</v>
      </c>
      <c r="H53" s="38">
        <f t="shared" si="16"/>
        <v>53.208000000000013</v>
      </c>
      <c r="I53" s="38">
        <f t="shared" si="16"/>
        <v>57.650000000000006</v>
      </c>
      <c r="J53" s="295">
        <f t="shared" si="16"/>
        <v>47.4</v>
      </c>
      <c r="K53" s="27">
        <f t="shared" si="16"/>
        <v>46.889499999999998</v>
      </c>
      <c r="L53" s="27">
        <f t="shared" si="16"/>
        <v>51.169499999999999</v>
      </c>
      <c r="M53" s="27">
        <f t="shared" si="16"/>
        <v>61.666196015625005</v>
      </c>
      <c r="N53" s="27">
        <f t="shared" si="16"/>
        <v>52.946196015625006</v>
      </c>
      <c r="O53" s="27">
        <f t="shared" si="16"/>
        <v>46.755779928513185</v>
      </c>
      <c r="P53" s="27">
        <f t="shared" si="16"/>
        <v>51.035779928513186</v>
      </c>
      <c r="Q53" s="27">
        <f t="shared" si="16"/>
        <v>200.67505117337802</v>
      </c>
      <c r="R53" s="27">
        <f t="shared" si="16"/>
        <v>185.34054669630592</v>
      </c>
      <c r="S53" s="27">
        <f>SUM(S28:S52)</f>
        <v>157.30755616579646</v>
      </c>
      <c r="T53" s="27">
        <f>SUM(T28:T52)</f>
        <v>145.17146756984664</v>
      </c>
      <c r="U53" s="27">
        <f>SUM(U28:U52)</f>
        <v>140.6</v>
      </c>
      <c r="V53" s="27">
        <f>SUM(V28:V52)</f>
        <v>140.6</v>
      </c>
    </row>
    <row r="54" spans="1:22" s="26" customFormat="1" x14ac:dyDescent="0.2">
      <c r="A54" s="32"/>
      <c r="B54" s="25"/>
      <c r="C54" s="151"/>
      <c r="D54" s="38"/>
      <c r="E54" s="38"/>
      <c r="F54" s="38"/>
      <c r="G54" s="38"/>
      <c r="H54" s="38"/>
      <c r="I54" s="38"/>
      <c r="J54" s="295"/>
      <c r="K54" s="27"/>
      <c r="L54" s="27"/>
      <c r="M54" s="27"/>
      <c r="N54" s="27"/>
      <c r="O54" s="27"/>
      <c r="P54" s="27"/>
      <c r="Q54" s="27"/>
      <c r="R54" s="27"/>
      <c r="S54" s="27"/>
      <c r="T54" s="27"/>
      <c r="U54" s="27"/>
      <c r="V54" s="27"/>
    </row>
    <row r="55" spans="1:22" s="26" customFormat="1" x14ac:dyDescent="0.2">
      <c r="A55" s="32"/>
      <c r="B55" s="3" t="s">
        <v>35</v>
      </c>
      <c r="C55" s="145"/>
      <c r="D55" s="157">
        <v>52</v>
      </c>
      <c r="E55" s="38"/>
      <c r="F55" s="38"/>
      <c r="G55" s="38"/>
      <c r="H55" s="38">
        <v>-275</v>
      </c>
      <c r="I55" s="38"/>
      <c r="J55" s="295"/>
      <c r="K55" s="27"/>
      <c r="L55" s="27"/>
      <c r="M55" s="27"/>
      <c r="N55" s="27"/>
      <c r="O55" s="27"/>
      <c r="P55" s="27"/>
      <c r="Q55" s="27"/>
      <c r="R55" s="27"/>
      <c r="S55" s="27"/>
      <c r="T55" s="27"/>
      <c r="U55" s="27"/>
      <c r="V55" s="27"/>
    </row>
    <row r="56" spans="1:22" s="2" customFormat="1" x14ac:dyDescent="0.2">
      <c r="A56" s="31"/>
      <c r="B56" s="3" t="s">
        <v>54</v>
      </c>
      <c r="C56" s="145"/>
      <c r="D56" s="157">
        <v>72</v>
      </c>
      <c r="E56" s="157"/>
      <c r="F56" s="13"/>
      <c r="G56" s="157"/>
      <c r="H56" s="13"/>
      <c r="I56" s="157"/>
      <c r="J56" s="296"/>
      <c r="K56" s="13"/>
      <c r="L56" s="13"/>
      <c r="M56" s="13"/>
      <c r="N56" s="13"/>
      <c r="O56" s="13"/>
      <c r="P56" s="13"/>
      <c r="Q56" s="13"/>
      <c r="R56" s="13"/>
      <c r="S56" s="13"/>
      <c r="T56" s="13"/>
      <c r="U56" s="13"/>
      <c r="V56" s="13"/>
    </row>
    <row r="57" spans="1:22" s="26" customFormat="1" ht="13.5" thickBot="1" x14ac:dyDescent="0.25">
      <c r="A57" s="32" t="s">
        <v>41</v>
      </c>
      <c r="B57" s="25" t="s">
        <v>43</v>
      </c>
      <c r="C57" s="152" t="s">
        <v>44</v>
      </c>
      <c r="D57" s="33">
        <f>+D23-D53+D56+D55</f>
        <v>180.15050000000002</v>
      </c>
      <c r="E57" s="142">
        <f>+E23-E53</f>
        <v>12.194500000000005</v>
      </c>
      <c r="F57" s="142">
        <f>+F23-F53</f>
        <v>90.489999999999981</v>
      </c>
      <c r="G57" s="142">
        <f>+G23-G53</f>
        <v>30.389499999999998</v>
      </c>
      <c r="H57" s="142">
        <f>SUM(H53:H56)</f>
        <v>-221.79199999999997</v>
      </c>
      <c r="I57" s="246">
        <f t="shared" ref="I57:V57" si="17">+I23-I53</f>
        <v>57.849999999999994</v>
      </c>
      <c r="J57" s="351">
        <f t="shared" si="17"/>
        <v>59.812000000000005</v>
      </c>
      <c r="K57" s="246">
        <f t="shared" si="17"/>
        <v>68.378499999999988</v>
      </c>
      <c r="L57" s="246">
        <f t="shared" si="17"/>
        <v>61.512189999999975</v>
      </c>
      <c r="M57" s="252">
        <f t="shared" si="17"/>
        <v>48.637926734374972</v>
      </c>
      <c r="N57" s="252">
        <f t="shared" si="17"/>
        <v>55.180650778124956</v>
      </c>
      <c r="O57" s="252">
        <f t="shared" si="17"/>
        <v>59.386102961330529</v>
      </c>
      <c r="P57" s="252">
        <f t="shared" si="17"/>
        <v>53.305921713514117</v>
      </c>
      <c r="Q57" s="277">
        <f t="shared" si="17"/>
        <v>216.69175539473119</v>
      </c>
      <c r="R57" s="142">
        <f t="shared" si="17"/>
        <v>226.93461039206966</v>
      </c>
      <c r="S57" s="277">
        <f t="shared" si="17"/>
        <v>268.85706623982924</v>
      </c>
      <c r="T57" s="142">
        <f t="shared" si="17"/>
        <v>310.39254625949832</v>
      </c>
      <c r="U57" s="277">
        <f t="shared" si="17"/>
        <v>358.69933827354544</v>
      </c>
      <c r="V57" s="142">
        <f t="shared" si="17"/>
        <v>408.9949613843761</v>
      </c>
    </row>
    <row r="58" spans="1:22" s="26" customFormat="1" ht="13.5" thickTop="1" x14ac:dyDescent="0.2">
      <c r="A58" s="32"/>
      <c r="B58" s="25"/>
      <c r="C58" s="152"/>
      <c r="D58" s="38"/>
      <c r="E58" s="38"/>
      <c r="F58" s="38"/>
      <c r="G58" s="38"/>
      <c r="H58" s="38"/>
      <c r="I58" s="38"/>
      <c r="J58" s="295"/>
      <c r="K58" s="38"/>
      <c r="L58" s="38"/>
      <c r="M58" s="38"/>
      <c r="N58" s="38"/>
      <c r="O58" s="38"/>
      <c r="P58" s="38"/>
      <c r="Q58" s="38"/>
      <c r="R58" s="38"/>
      <c r="S58" s="38"/>
      <c r="T58" s="38"/>
      <c r="U58" s="38"/>
      <c r="V58" s="38"/>
    </row>
    <row r="59" spans="1:22" s="26" customFormat="1" x14ac:dyDescent="0.2">
      <c r="A59" s="32"/>
      <c r="B59" s="25" t="s">
        <v>136</v>
      </c>
      <c r="C59" s="152"/>
      <c r="D59" s="38"/>
      <c r="E59" s="38"/>
      <c r="F59" s="38"/>
      <c r="G59" s="38"/>
      <c r="H59" s="38">
        <f>-974.2-25</f>
        <v>-999.2</v>
      </c>
      <c r="I59" s="38"/>
      <c r="J59" s="295"/>
      <c r="K59" s="38"/>
      <c r="L59" s="38"/>
      <c r="M59" s="38"/>
      <c r="N59" s="38"/>
      <c r="O59" s="38"/>
      <c r="P59" s="38"/>
      <c r="Q59" s="38"/>
      <c r="R59" s="38"/>
      <c r="S59" s="38"/>
      <c r="T59" s="38"/>
      <c r="U59" s="38"/>
      <c r="V59" s="38"/>
    </row>
    <row r="60" spans="1:22" s="26" customFormat="1" x14ac:dyDescent="0.2">
      <c r="A60" s="32"/>
      <c r="B60" s="25"/>
      <c r="C60" s="152"/>
      <c r="D60" s="38"/>
      <c r="E60" s="38"/>
      <c r="F60" s="38"/>
      <c r="G60" s="38"/>
      <c r="H60" s="38"/>
      <c r="I60" s="38"/>
      <c r="J60" s="295"/>
      <c r="K60" s="38"/>
      <c r="L60" s="38"/>
      <c r="M60" s="38"/>
      <c r="N60" s="38"/>
      <c r="O60" s="38"/>
      <c r="P60" s="38"/>
      <c r="Q60" s="38"/>
      <c r="R60" s="38"/>
      <c r="S60" s="38"/>
      <c r="T60" s="38"/>
      <c r="U60" s="38"/>
      <c r="V60" s="38"/>
    </row>
    <row r="61" spans="1:22" s="26" customFormat="1" x14ac:dyDescent="0.2">
      <c r="A61" s="32"/>
      <c r="B61" s="25"/>
      <c r="C61" s="152"/>
      <c r="D61" s="38"/>
      <c r="E61" s="38"/>
      <c r="F61" s="38"/>
      <c r="G61" s="38"/>
      <c r="H61" s="38"/>
      <c r="I61" s="38"/>
      <c r="J61" s="295"/>
      <c r="K61" s="38"/>
      <c r="L61" s="38"/>
      <c r="M61" s="38"/>
      <c r="N61" s="38"/>
      <c r="O61" s="38"/>
      <c r="P61" s="38"/>
      <c r="Q61" s="38"/>
      <c r="R61" s="38"/>
      <c r="S61" s="38"/>
      <c r="T61" s="38"/>
      <c r="U61" s="38"/>
      <c r="V61" s="38"/>
    </row>
    <row r="62" spans="1:22" s="2" customFormat="1" x14ac:dyDescent="0.2">
      <c r="A62" s="31"/>
      <c r="B62" s="3"/>
      <c r="C62" s="145"/>
      <c r="D62" s="157"/>
      <c r="E62" s="157"/>
      <c r="F62" s="157"/>
      <c r="G62" s="157"/>
      <c r="H62" s="157"/>
      <c r="I62" s="157"/>
      <c r="J62" s="291"/>
      <c r="K62" s="12"/>
      <c r="L62" s="12"/>
      <c r="M62" s="12"/>
      <c r="N62" s="12"/>
      <c r="O62" s="12"/>
      <c r="P62" s="12"/>
      <c r="Q62" s="12"/>
      <c r="R62" s="12"/>
      <c r="S62" s="12"/>
      <c r="T62" s="12"/>
      <c r="U62" s="12"/>
      <c r="V62" s="12"/>
    </row>
    <row r="63" spans="1:22" x14ac:dyDescent="0.2">
      <c r="B63" s="54" t="s">
        <v>22</v>
      </c>
      <c r="C63" s="4"/>
      <c r="D63" s="158"/>
      <c r="E63" s="193"/>
      <c r="F63" s="193"/>
      <c r="G63" s="193"/>
      <c r="H63" s="193"/>
      <c r="I63" s="193"/>
      <c r="J63" s="297"/>
      <c r="K63" s="14"/>
      <c r="L63" s="14"/>
      <c r="M63" s="14"/>
      <c r="N63" s="14"/>
      <c r="O63" s="14"/>
      <c r="P63" s="14"/>
      <c r="Q63" s="14"/>
      <c r="R63" s="14"/>
      <c r="S63" s="14"/>
      <c r="T63" s="14"/>
      <c r="U63" s="14"/>
      <c r="V63" s="14"/>
    </row>
    <row r="64" spans="1:22" x14ac:dyDescent="0.2">
      <c r="A64" s="17" t="s">
        <v>42</v>
      </c>
      <c r="B64" s="1" t="s">
        <v>87</v>
      </c>
      <c r="C64" s="153">
        <v>250</v>
      </c>
      <c r="D64" s="158">
        <v>45</v>
      </c>
      <c r="E64" s="193">
        <v>25</v>
      </c>
      <c r="F64" s="193">
        <v>25</v>
      </c>
      <c r="G64" s="193">
        <v>25</v>
      </c>
      <c r="H64" s="193">
        <v>130</v>
      </c>
      <c r="I64" s="157"/>
      <c r="J64" s="297"/>
      <c r="K64" s="14"/>
      <c r="L64" s="14"/>
      <c r="M64" s="14"/>
      <c r="N64" s="14"/>
      <c r="O64" s="14"/>
      <c r="P64" s="14"/>
      <c r="Q64" s="14"/>
      <c r="R64" s="14"/>
      <c r="S64" s="14"/>
      <c r="T64" s="14"/>
      <c r="U64" s="14"/>
      <c r="V64" s="14"/>
    </row>
    <row r="65" spans="1:22" x14ac:dyDescent="0.2">
      <c r="A65" s="17" t="s">
        <v>42</v>
      </c>
      <c r="B65" s="1" t="s">
        <v>88</v>
      </c>
      <c r="C65" s="153">
        <v>16</v>
      </c>
      <c r="D65" s="158">
        <v>16</v>
      </c>
      <c r="E65" s="194">
        <v>-239</v>
      </c>
      <c r="F65" s="193"/>
      <c r="G65" s="193"/>
      <c r="H65" s="193">
        <v>239</v>
      </c>
      <c r="I65" s="157"/>
      <c r="J65" s="297"/>
      <c r="K65" s="14"/>
      <c r="L65" s="14"/>
      <c r="M65" s="14"/>
      <c r="N65" s="14"/>
      <c r="O65" s="14"/>
      <c r="P65" s="14"/>
      <c r="Q65" s="14"/>
      <c r="R65" s="14"/>
      <c r="S65" s="14"/>
      <c r="T65" s="14"/>
      <c r="U65" s="14"/>
      <c r="V65" s="14"/>
    </row>
    <row r="66" spans="1:22" x14ac:dyDescent="0.2">
      <c r="A66" s="17" t="s">
        <v>42</v>
      </c>
      <c r="B66" s="1" t="s">
        <v>25</v>
      </c>
      <c r="C66" s="153">
        <v>35</v>
      </c>
      <c r="D66" s="158">
        <v>35</v>
      </c>
      <c r="E66" s="193"/>
      <c r="F66" s="193"/>
      <c r="G66" s="193"/>
      <c r="H66" s="193"/>
      <c r="I66" s="193"/>
      <c r="J66" s="297"/>
      <c r="K66" s="14"/>
      <c r="L66" s="14"/>
      <c r="M66" s="14"/>
      <c r="N66" s="14"/>
      <c r="O66" s="14"/>
      <c r="P66" s="14"/>
      <c r="Q66" s="14"/>
      <c r="R66" s="14"/>
      <c r="S66" s="14"/>
      <c r="T66" s="14"/>
      <c r="U66" s="14"/>
      <c r="V66" s="14"/>
    </row>
    <row r="67" spans="1:22" x14ac:dyDescent="0.2">
      <c r="A67" s="17"/>
      <c r="B67" s="1" t="s">
        <v>114</v>
      </c>
      <c r="C67" s="153"/>
      <c r="D67" s="158"/>
      <c r="E67" s="193">
        <v>0.3</v>
      </c>
      <c r="F67" s="193"/>
      <c r="G67" s="193"/>
      <c r="H67" s="193"/>
      <c r="I67" s="193"/>
      <c r="J67" s="297"/>
      <c r="K67" s="14"/>
      <c r="L67" s="14"/>
      <c r="M67" s="14"/>
      <c r="N67" s="14"/>
      <c r="O67" s="14"/>
      <c r="P67" s="14"/>
      <c r="Q67" s="14"/>
      <c r="R67" s="14"/>
      <c r="S67" s="14"/>
      <c r="T67" s="14"/>
      <c r="U67" s="14"/>
      <c r="V67" s="14"/>
    </row>
    <row r="68" spans="1:22" ht="13.5" thickBot="1" x14ac:dyDescent="0.25">
      <c r="A68" s="17" t="s">
        <v>42</v>
      </c>
      <c r="B68" s="249" t="s">
        <v>34</v>
      </c>
      <c r="C68" s="154"/>
      <c r="D68" s="158"/>
      <c r="E68" s="193"/>
      <c r="F68" s="193"/>
      <c r="G68" s="193"/>
      <c r="H68" s="193">
        <v>184</v>
      </c>
      <c r="I68" s="193"/>
      <c r="J68" s="297"/>
      <c r="K68" s="14"/>
      <c r="L68" s="14"/>
      <c r="M68" s="14"/>
      <c r="N68" s="14"/>
      <c r="O68" s="14"/>
      <c r="P68" s="14"/>
      <c r="Q68" s="14"/>
      <c r="R68" s="14"/>
      <c r="S68" s="14"/>
      <c r="T68" s="14"/>
      <c r="U68" s="14"/>
      <c r="V68" s="14"/>
    </row>
    <row r="69" spans="1:22" ht="16.5" thickBot="1" x14ac:dyDescent="0.3">
      <c r="A69" s="17"/>
      <c r="B69" s="260" t="s">
        <v>137</v>
      </c>
      <c r="C69" s="154"/>
      <c r="D69" s="158"/>
      <c r="E69" s="193"/>
      <c r="F69" s="193"/>
      <c r="G69" s="193"/>
      <c r="H69" s="261">
        <v>-107.5</v>
      </c>
      <c r="I69" s="193"/>
      <c r="J69" s="297"/>
      <c r="K69" s="14"/>
      <c r="L69" s="14"/>
      <c r="M69" s="14"/>
      <c r="N69" s="14"/>
      <c r="O69" s="14"/>
      <c r="P69" s="14"/>
      <c r="Q69" s="14"/>
      <c r="R69" s="14"/>
      <c r="S69" s="14"/>
      <c r="T69" s="14"/>
      <c r="U69" s="14"/>
      <c r="V69" s="14"/>
    </row>
    <row r="70" spans="1:22" s="267" customFormat="1" ht="16.5" thickBot="1" x14ac:dyDescent="0.3">
      <c r="A70" s="228"/>
      <c r="B70" s="260" t="s">
        <v>138</v>
      </c>
      <c r="C70" s="262"/>
      <c r="D70" s="263"/>
      <c r="E70" s="264"/>
      <c r="F70" s="264"/>
      <c r="G70" s="264"/>
      <c r="H70" s="363">
        <v>-800</v>
      </c>
      <c r="I70" s="264"/>
      <c r="J70" s="354">
        <v>26.1</v>
      </c>
      <c r="K70" s="266"/>
      <c r="L70" s="266">
        <f>(+J57+K57)*0.75</f>
        <v>96.142874999999989</v>
      </c>
      <c r="M70" s="266"/>
      <c r="N70" s="266">
        <f>(+L57+M57)*0.75</f>
        <v>82.612587550781214</v>
      </c>
      <c r="O70" s="266"/>
      <c r="P70" s="266">
        <f>(+N57+O57)*0.75</f>
        <v>85.925065304591612</v>
      </c>
      <c r="Q70" s="266">
        <f>(SUM(O57:P57)+(+Q57*0.5))*0.75</f>
        <v>165.77842677915766</v>
      </c>
      <c r="R70" s="266">
        <f>SUM(Q57)*0.75</f>
        <v>162.51881654604838</v>
      </c>
      <c r="S70" s="266">
        <f>SUM(R57)*0.75-39</f>
        <v>131.20095779405224</v>
      </c>
      <c r="T70" s="266">
        <v>0</v>
      </c>
      <c r="U70" s="266">
        <v>0</v>
      </c>
      <c r="V70" s="266">
        <v>0</v>
      </c>
    </row>
    <row r="71" spans="1:22" s="267" customFormat="1" ht="15.75" x14ac:dyDescent="0.25">
      <c r="A71" s="228"/>
      <c r="B71" s="260"/>
      <c r="C71" s="262"/>
      <c r="D71" s="263"/>
      <c r="E71" s="264"/>
      <c r="F71" s="264"/>
      <c r="G71" s="264"/>
      <c r="H71" s="361"/>
      <c r="I71" s="264"/>
      <c r="J71" s="354"/>
      <c r="K71" s="266"/>
      <c r="L71" s="266"/>
      <c r="M71" s="266"/>
      <c r="N71" s="266"/>
      <c r="O71" s="266"/>
      <c r="P71" s="266"/>
      <c r="Q71" s="266"/>
      <c r="R71" s="266"/>
      <c r="S71" s="266"/>
      <c r="T71" s="266"/>
      <c r="U71" s="266"/>
      <c r="V71" s="266"/>
    </row>
    <row r="72" spans="1:22" x14ac:dyDescent="0.2">
      <c r="A72" s="17" t="s">
        <v>42</v>
      </c>
      <c r="B72" s="19" t="s">
        <v>14</v>
      </c>
      <c r="C72" s="154">
        <v>1406</v>
      </c>
      <c r="D72" s="158"/>
      <c r="E72" s="193"/>
      <c r="F72" s="193"/>
      <c r="G72" s="193"/>
      <c r="H72" s="193">
        <v>1406</v>
      </c>
      <c r="I72" s="193"/>
      <c r="J72" s="297"/>
      <c r="K72" s="14"/>
      <c r="L72" s="14"/>
      <c r="M72" s="14"/>
      <c r="N72" s="14"/>
      <c r="O72" s="14"/>
      <c r="P72" s="14"/>
      <c r="Q72" s="14"/>
      <c r="R72" s="14"/>
      <c r="S72" s="14"/>
      <c r="T72" s="14"/>
      <c r="U72" s="14"/>
      <c r="V72" s="14"/>
    </row>
    <row r="73" spans="1:22" x14ac:dyDescent="0.2">
      <c r="A73" s="17"/>
      <c r="B73" s="7"/>
      <c r="C73" s="154"/>
      <c r="D73" s="158"/>
      <c r="E73" s="193"/>
      <c r="F73" s="193"/>
      <c r="G73" s="193"/>
      <c r="H73" s="193"/>
      <c r="I73" s="193"/>
      <c r="J73" s="297"/>
      <c r="K73" s="14"/>
      <c r="L73" s="14"/>
      <c r="M73" s="14"/>
      <c r="N73" s="14"/>
      <c r="O73" s="14"/>
      <c r="P73" s="14"/>
      <c r="Q73" s="14"/>
      <c r="R73" s="14"/>
      <c r="S73" s="14"/>
      <c r="T73" s="14"/>
      <c r="U73" s="14"/>
      <c r="V73" s="14"/>
    </row>
    <row r="74" spans="1:22" x14ac:dyDescent="0.2">
      <c r="B74" s="19" t="s">
        <v>69</v>
      </c>
      <c r="C74" s="35">
        <v>1707</v>
      </c>
      <c r="D74" s="158"/>
      <c r="E74" s="193"/>
      <c r="F74" s="193"/>
      <c r="G74" s="193"/>
      <c r="H74" s="193"/>
      <c r="I74" s="193"/>
      <c r="J74" s="297"/>
      <c r="K74" s="14"/>
      <c r="L74" s="14"/>
      <c r="M74" s="14"/>
      <c r="N74" s="14"/>
      <c r="O74" s="14"/>
      <c r="P74" s="14"/>
      <c r="Q74" s="14"/>
      <c r="R74" s="14"/>
      <c r="S74" s="14"/>
      <c r="T74" s="14"/>
      <c r="U74" s="14"/>
      <c r="V74" s="14"/>
    </row>
    <row r="75" spans="1:22" s="16" customFormat="1" ht="13.5" thickBot="1" x14ac:dyDescent="0.25">
      <c r="A75" s="17" t="s">
        <v>45</v>
      </c>
      <c r="B75" s="16" t="s">
        <v>53</v>
      </c>
      <c r="C75" s="155" t="s">
        <v>51</v>
      </c>
      <c r="D75" s="118">
        <f>-SUM(D62:D74)+D57</f>
        <v>84.150500000000022</v>
      </c>
      <c r="E75" s="244">
        <f>-SUM(E62:E74)+E57</f>
        <v>225.89449999999999</v>
      </c>
      <c r="F75" s="244">
        <f>-SUM(F62:F74)+F57</f>
        <v>65.489999999999981</v>
      </c>
      <c r="G75" s="244">
        <f>-SUM(G62:G74)+G57</f>
        <v>5.3894999999999982</v>
      </c>
      <c r="H75" s="244">
        <f>-SUM(H59:H74)+H57</f>
        <v>-274.09199999999993</v>
      </c>
      <c r="I75" s="248">
        <f t="shared" ref="I75:V75" si="18">-SUM(I62:I74)+I57</f>
        <v>57.849999999999994</v>
      </c>
      <c r="J75" s="352">
        <f t="shared" si="18"/>
        <v>33.712000000000003</v>
      </c>
      <c r="K75" s="248">
        <f t="shared" si="18"/>
        <v>68.378499999999988</v>
      </c>
      <c r="L75" s="248">
        <f t="shared" si="18"/>
        <v>-34.630685000000014</v>
      </c>
      <c r="M75" s="253">
        <f t="shared" si="18"/>
        <v>48.637926734374972</v>
      </c>
      <c r="N75" s="253">
        <f t="shared" si="18"/>
        <v>-27.431936772656258</v>
      </c>
      <c r="O75" s="253">
        <f t="shared" si="18"/>
        <v>59.386102961330529</v>
      </c>
      <c r="P75" s="253">
        <f t="shared" si="18"/>
        <v>-32.619143591077496</v>
      </c>
      <c r="Q75" s="278">
        <f t="shared" si="18"/>
        <v>50.913328615573533</v>
      </c>
      <c r="R75" s="244">
        <f t="shared" si="18"/>
        <v>64.415793846021273</v>
      </c>
      <c r="S75" s="278">
        <f t="shared" si="18"/>
        <v>137.65610844577699</v>
      </c>
      <c r="T75" s="244">
        <f t="shared" si="18"/>
        <v>310.39254625949832</v>
      </c>
      <c r="U75" s="278">
        <f t="shared" si="18"/>
        <v>358.69933827354544</v>
      </c>
      <c r="V75" s="244">
        <f t="shared" si="18"/>
        <v>408.9949613843761</v>
      </c>
    </row>
    <row r="76" spans="1:22" ht="14.25" thickTop="1" thickBot="1" x14ac:dyDescent="0.25">
      <c r="C76" s="4"/>
      <c r="D76" s="158"/>
      <c r="E76" s="193"/>
      <c r="F76" s="193"/>
      <c r="G76" s="193"/>
      <c r="H76" s="193"/>
      <c r="I76" s="193"/>
      <c r="J76" s="297"/>
      <c r="K76" s="14"/>
      <c r="L76" s="14"/>
      <c r="M76" s="14"/>
      <c r="N76" s="14"/>
      <c r="O76" s="14"/>
      <c r="P76" s="14"/>
      <c r="Q76" s="14"/>
      <c r="R76" s="14"/>
      <c r="S76" s="14"/>
      <c r="T76" s="14"/>
      <c r="U76" s="14"/>
      <c r="V76" s="14"/>
    </row>
    <row r="77" spans="1:22" s="176" customFormat="1" ht="13.5" thickBot="1" x14ac:dyDescent="0.25">
      <c r="A77" s="32" t="s">
        <v>52</v>
      </c>
      <c r="B77" s="176" t="s">
        <v>168</v>
      </c>
      <c r="C77" s="216"/>
      <c r="D77" s="215">
        <f>+D75</f>
        <v>84.150500000000022</v>
      </c>
      <c r="E77" s="215">
        <f>+D77+E75</f>
        <v>310.04500000000002</v>
      </c>
      <c r="F77" s="215">
        <f t="shared" ref="F77:R77" si="19">+E77+F75</f>
        <v>375.53499999999997</v>
      </c>
      <c r="G77" s="215">
        <f t="shared" si="19"/>
        <v>380.92449999999997</v>
      </c>
      <c r="H77" s="215">
        <f t="shared" si="19"/>
        <v>106.83250000000004</v>
      </c>
      <c r="I77" s="215">
        <f t="shared" si="19"/>
        <v>164.68250000000003</v>
      </c>
      <c r="J77" s="298">
        <f t="shared" si="19"/>
        <v>198.39450000000005</v>
      </c>
      <c r="K77" s="217">
        <f t="shared" si="19"/>
        <v>266.77300000000002</v>
      </c>
      <c r="L77" s="215">
        <f t="shared" si="19"/>
        <v>232.142315</v>
      </c>
      <c r="M77" s="215">
        <f t="shared" si="19"/>
        <v>280.78024173437495</v>
      </c>
      <c r="N77" s="215">
        <f t="shared" si="19"/>
        <v>253.3483049617187</v>
      </c>
      <c r="O77" s="215">
        <f t="shared" si="19"/>
        <v>312.73440792304922</v>
      </c>
      <c r="P77" s="215">
        <f t="shared" si="19"/>
        <v>280.11526433197173</v>
      </c>
      <c r="Q77" s="215">
        <f t="shared" si="19"/>
        <v>331.02859294754523</v>
      </c>
      <c r="R77" s="247">
        <f t="shared" si="19"/>
        <v>395.44438679356654</v>
      </c>
      <c r="S77" s="215">
        <f>+R77+S75</f>
        <v>533.10049523934356</v>
      </c>
      <c r="T77" s="215">
        <f>+S77+T75</f>
        <v>843.49304149884188</v>
      </c>
      <c r="U77" s="215">
        <f>+T77+U75</f>
        <v>1202.1923797723873</v>
      </c>
      <c r="V77" s="215">
        <f>+U77+V75</f>
        <v>1611.1873411567635</v>
      </c>
    </row>
    <row r="78" spans="1:22" s="176" customFormat="1" x14ac:dyDescent="0.2">
      <c r="A78" s="32"/>
      <c r="C78" s="216"/>
      <c r="D78" s="215"/>
      <c r="E78" s="215"/>
      <c r="F78" s="215"/>
      <c r="G78" s="215"/>
      <c r="H78" s="215"/>
      <c r="I78" s="215"/>
      <c r="J78" s="298"/>
      <c r="K78" s="217"/>
      <c r="L78" s="215"/>
      <c r="M78" s="217"/>
      <c r="N78" s="215"/>
      <c r="O78" s="217"/>
      <c r="P78" s="217"/>
      <c r="Q78" s="217"/>
      <c r="R78" s="215"/>
      <c r="S78" s="215"/>
      <c r="T78" s="215"/>
      <c r="U78" s="215"/>
      <c r="V78" s="215"/>
    </row>
    <row r="79" spans="1:22" s="220" customFormat="1" ht="15.75" x14ac:dyDescent="0.25">
      <c r="A79" s="221"/>
      <c r="B79" s="223" t="s">
        <v>128</v>
      </c>
      <c r="C79" s="224"/>
      <c r="D79" s="224">
        <f t="shared" ref="D79:V79" si="20">-SUM(D63:D73)</f>
        <v>-96</v>
      </c>
      <c r="E79" s="224">
        <f t="shared" si="20"/>
        <v>213.7</v>
      </c>
      <c r="F79" s="224">
        <f t="shared" si="20"/>
        <v>-25</v>
      </c>
      <c r="G79" s="224">
        <f t="shared" si="20"/>
        <v>-25</v>
      </c>
      <c r="H79" s="224">
        <f t="shared" si="20"/>
        <v>-1051.5</v>
      </c>
      <c r="I79" s="224">
        <f t="shared" si="20"/>
        <v>0</v>
      </c>
      <c r="J79" s="300">
        <f t="shared" si="20"/>
        <v>-26.1</v>
      </c>
      <c r="K79" s="224">
        <f t="shared" si="20"/>
        <v>0</v>
      </c>
      <c r="L79" s="224">
        <f t="shared" si="20"/>
        <v>-96.142874999999989</v>
      </c>
      <c r="M79" s="224">
        <f t="shared" si="20"/>
        <v>0</v>
      </c>
      <c r="N79" s="224">
        <f t="shared" si="20"/>
        <v>-82.612587550781214</v>
      </c>
      <c r="O79" s="224">
        <f t="shared" si="20"/>
        <v>0</v>
      </c>
      <c r="P79" s="224">
        <f t="shared" si="20"/>
        <v>-85.925065304591612</v>
      </c>
      <c r="Q79" s="224">
        <f t="shared" si="20"/>
        <v>-165.77842677915766</v>
      </c>
      <c r="R79" s="224">
        <f t="shared" si="20"/>
        <v>-162.51881654604838</v>
      </c>
      <c r="S79" s="224">
        <f t="shared" si="20"/>
        <v>-131.20095779405224</v>
      </c>
      <c r="T79" s="224">
        <f t="shared" si="20"/>
        <v>0</v>
      </c>
      <c r="U79" s="224">
        <f t="shared" si="20"/>
        <v>0</v>
      </c>
      <c r="V79" s="225">
        <f t="shared" si="20"/>
        <v>0</v>
      </c>
    </row>
    <row r="80" spans="1:22" s="232" customFormat="1" ht="16.5" thickBot="1" x14ac:dyDescent="0.3">
      <c r="A80" s="228"/>
      <c r="B80" s="223" t="s">
        <v>127</v>
      </c>
      <c r="C80" s="224">
        <v>1891</v>
      </c>
      <c r="D80" s="224">
        <f>+C80+D79</f>
        <v>1795</v>
      </c>
      <c r="E80" s="224">
        <f t="shared" ref="E80:V80" si="21">+D80+E79</f>
        <v>2008.7</v>
      </c>
      <c r="F80" s="224">
        <f t="shared" si="21"/>
        <v>1983.7</v>
      </c>
      <c r="G80" s="224">
        <f t="shared" si="21"/>
        <v>1958.7</v>
      </c>
      <c r="H80" s="224">
        <f t="shared" si="21"/>
        <v>907.2</v>
      </c>
      <c r="I80" s="224">
        <f t="shared" si="21"/>
        <v>907.2</v>
      </c>
      <c r="J80" s="301">
        <f t="shared" si="21"/>
        <v>881.1</v>
      </c>
      <c r="K80" s="224">
        <f t="shared" si="21"/>
        <v>881.1</v>
      </c>
      <c r="L80" s="224">
        <f t="shared" si="21"/>
        <v>784.95712500000002</v>
      </c>
      <c r="M80" s="224">
        <f t="shared" si="21"/>
        <v>784.95712500000002</v>
      </c>
      <c r="N80" s="224">
        <f t="shared" si="21"/>
        <v>702.34453744921882</v>
      </c>
      <c r="O80" s="224">
        <f t="shared" si="21"/>
        <v>702.34453744921882</v>
      </c>
      <c r="P80" s="224">
        <f t="shared" si="21"/>
        <v>616.41947214462721</v>
      </c>
      <c r="Q80" s="224">
        <f t="shared" si="21"/>
        <v>450.64104536546955</v>
      </c>
      <c r="R80" s="224">
        <f t="shared" si="21"/>
        <v>288.12222881942114</v>
      </c>
      <c r="S80" s="224">
        <f t="shared" si="21"/>
        <v>156.9212710253689</v>
      </c>
      <c r="T80" s="224">
        <f t="shared" si="21"/>
        <v>156.9212710253689</v>
      </c>
      <c r="U80" s="224">
        <f t="shared" si="21"/>
        <v>156.9212710253689</v>
      </c>
      <c r="V80" s="225">
        <f t="shared" si="21"/>
        <v>156.9212710253689</v>
      </c>
    </row>
    <row r="81" spans="1:22" s="232" customFormat="1" ht="15.75" x14ac:dyDescent="0.25">
      <c r="A81" s="228"/>
      <c r="B81" s="366" t="s">
        <v>172</v>
      </c>
      <c r="C81" s="367"/>
      <c r="D81" s="367"/>
      <c r="E81" s="367"/>
      <c r="F81" s="367"/>
      <c r="G81" s="367"/>
      <c r="H81" s="367"/>
      <c r="I81" s="367">
        <v>724</v>
      </c>
      <c r="J81" s="367">
        <v>664</v>
      </c>
      <c r="K81" s="367"/>
      <c r="L81" s="367"/>
      <c r="M81" s="367"/>
      <c r="N81" s="367"/>
      <c r="O81" s="367"/>
      <c r="P81" s="367"/>
      <c r="Q81" s="367"/>
      <c r="R81" s="367"/>
      <c r="S81" s="367"/>
      <c r="T81" s="367"/>
      <c r="U81" s="367"/>
      <c r="V81" s="367"/>
    </row>
    <row r="82" spans="1:22" s="356" customFormat="1" ht="15.75" x14ac:dyDescent="0.25">
      <c r="B82" s="356" t="s">
        <v>163</v>
      </c>
      <c r="D82" s="355"/>
      <c r="H82" s="358">
        <v>1.4</v>
      </c>
      <c r="I82" s="359">
        <v>1.3</v>
      </c>
      <c r="J82" s="356">
        <v>1.3</v>
      </c>
      <c r="L82" s="355"/>
      <c r="N82" s="355"/>
    </row>
    <row r="83" spans="1:22" ht="15.75" x14ac:dyDescent="0.25">
      <c r="B83" s="268" t="s">
        <v>50</v>
      </c>
      <c r="H83" s="4"/>
    </row>
    <row r="84" spans="1:22" ht="15.75" x14ac:dyDescent="0.25">
      <c r="B84" s="268"/>
    </row>
    <row r="85" spans="1:22" ht="15.75" x14ac:dyDescent="0.25">
      <c r="B85" s="268"/>
    </row>
    <row r="87" spans="1:22" s="281" customFormat="1" ht="15.75" x14ac:dyDescent="0.25">
      <c r="A87" s="280"/>
      <c r="B87" s="281" t="s">
        <v>146</v>
      </c>
      <c r="D87" s="232">
        <v>27.995000000000001</v>
      </c>
      <c r="E87" s="232">
        <f>+D87</f>
        <v>27.995000000000001</v>
      </c>
      <c r="F87" s="232">
        <f>+E87</f>
        <v>27.995000000000001</v>
      </c>
      <c r="G87" s="232">
        <f>+F87</f>
        <v>27.995000000000001</v>
      </c>
      <c r="H87" s="232">
        <v>27.995000000000001</v>
      </c>
      <c r="I87" s="232">
        <v>27.995000000000001</v>
      </c>
      <c r="J87" s="232">
        <v>27.995000000000001</v>
      </c>
      <c r="K87" s="232"/>
      <c r="L87" s="232"/>
      <c r="M87" s="232"/>
      <c r="N87" s="232"/>
      <c r="O87" s="232"/>
      <c r="P87" s="232"/>
      <c r="Q87" s="232"/>
      <c r="R87" s="232"/>
      <c r="S87" s="232"/>
      <c r="T87" s="232"/>
      <c r="U87" s="232"/>
      <c r="V87" s="232"/>
    </row>
    <row r="88" spans="1:22" s="281" customFormat="1" ht="15" x14ac:dyDescent="0.2">
      <c r="A88" s="280"/>
    </row>
    <row r="89" spans="1:22" s="281" customFormat="1" ht="15.75" thickBot="1" x14ac:dyDescent="0.25">
      <c r="A89" s="280"/>
      <c r="B89" s="281" t="s">
        <v>147</v>
      </c>
      <c r="E89" s="282">
        <v>-2869.3</v>
      </c>
      <c r="F89" s="282">
        <v>67.7</v>
      </c>
      <c r="G89" s="282">
        <v>24</v>
      </c>
      <c r="H89" s="282">
        <v>823.5</v>
      </c>
      <c r="I89" s="282">
        <v>53.5</v>
      </c>
      <c r="J89" s="282">
        <v>50.5</v>
      </c>
      <c r="K89" s="282"/>
      <c r="L89" s="282"/>
      <c r="M89" s="282"/>
      <c r="N89" s="282"/>
      <c r="O89" s="282"/>
      <c r="P89" s="282"/>
      <c r="Q89" s="282"/>
      <c r="R89" s="282"/>
      <c r="S89" s="282"/>
      <c r="T89" s="282"/>
      <c r="U89" s="282"/>
      <c r="V89" s="282"/>
    </row>
    <row r="90" spans="1:22" s="281" customFormat="1" ht="15" x14ac:dyDescent="0.2">
      <c r="A90" s="280"/>
      <c r="B90" s="317" t="s">
        <v>150</v>
      </c>
      <c r="C90" s="318"/>
      <c r="D90" s="318"/>
      <c r="E90" s="319"/>
      <c r="F90" s="319"/>
      <c r="G90" s="319"/>
      <c r="H90" s="319"/>
      <c r="I90" s="319"/>
      <c r="J90" s="319"/>
      <c r="K90" s="319"/>
      <c r="L90" s="319"/>
      <c r="M90" s="319"/>
      <c r="N90" s="319"/>
      <c r="O90" s="319"/>
      <c r="P90" s="319"/>
      <c r="Q90" s="319"/>
      <c r="R90" s="319"/>
      <c r="S90" s="319"/>
      <c r="T90" s="319"/>
      <c r="U90" s="319"/>
      <c r="V90" s="320"/>
    </row>
    <row r="91" spans="1:22" s="281" customFormat="1" ht="15" x14ac:dyDescent="0.2">
      <c r="A91" s="280"/>
      <c r="B91" s="321" t="s">
        <v>161</v>
      </c>
      <c r="C91" s="322"/>
      <c r="D91" s="322"/>
      <c r="E91" s="323">
        <f>146-30</f>
        <v>116</v>
      </c>
      <c r="F91" s="323">
        <f>145.2-24.2</f>
        <v>120.99999999999999</v>
      </c>
      <c r="G91" s="323">
        <f>137.775-26.6</f>
        <v>111.17500000000001</v>
      </c>
      <c r="H91" s="323">
        <f>141.56-23.4</f>
        <v>118.16</v>
      </c>
      <c r="I91" s="323">
        <v>101.8</v>
      </c>
      <c r="J91" s="323">
        <f>+J23-14.8</f>
        <v>92.412000000000006</v>
      </c>
      <c r="K91" s="323"/>
      <c r="L91" s="324"/>
      <c r="M91" s="323"/>
      <c r="N91" s="323"/>
      <c r="O91" s="323"/>
      <c r="P91" s="323"/>
      <c r="Q91" s="323"/>
      <c r="R91" s="323"/>
      <c r="S91" s="323"/>
      <c r="T91" s="323"/>
      <c r="U91" s="323"/>
      <c r="V91" s="325"/>
    </row>
    <row r="92" spans="1:22" s="281" customFormat="1" ht="15" x14ac:dyDescent="0.2">
      <c r="A92" s="280"/>
      <c r="B92" s="321"/>
      <c r="C92" s="322"/>
      <c r="D92" s="322"/>
      <c r="E92" s="322"/>
      <c r="F92" s="322"/>
      <c r="G92" s="322"/>
      <c r="H92" s="322"/>
      <c r="I92" s="322"/>
      <c r="J92" s="322"/>
      <c r="K92" s="322"/>
      <c r="L92" s="322"/>
      <c r="M92" s="322"/>
      <c r="N92" s="322"/>
      <c r="O92" s="322"/>
      <c r="P92" s="322"/>
      <c r="Q92" s="322"/>
      <c r="R92" s="322"/>
      <c r="S92" s="322"/>
      <c r="T92" s="322"/>
      <c r="U92" s="322"/>
      <c r="V92" s="326"/>
    </row>
    <row r="93" spans="1:22" s="285" customFormat="1" ht="16.5" thickBot="1" x14ac:dyDescent="0.3">
      <c r="A93" s="284"/>
      <c r="B93" s="327" t="s">
        <v>148</v>
      </c>
      <c r="C93" s="328"/>
      <c r="D93" s="328"/>
      <c r="E93" s="328"/>
      <c r="F93" s="329">
        <f>+(F91*4)/F$87</f>
        <v>17.288801571709232</v>
      </c>
      <c r="G93" s="329">
        <f>+(G91*4)/G$87</f>
        <v>15.884979460617968</v>
      </c>
      <c r="H93" s="329">
        <f>+(H91*4)/H$87</f>
        <v>16.883014824075726</v>
      </c>
      <c r="I93" s="329">
        <f>+(I91*4)/I$87</f>
        <v>14.545454545454545</v>
      </c>
      <c r="J93" s="329">
        <f>+(J91*4)/J$87</f>
        <v>13.204072155742097</v>
      </c>
      <c r="K93" s="328"/>
      <c r="L93" s="328"/>
      <c r="M93" s="328"/>
      <c r="N93" s="328"/>
      <c r="O93" s="328"/>
      <c r="P93" s="328"/>
      <c r="Q93" s="328"/>
      <c r="R93" s="328"/>
      <c r="S93" s="328"/>
      <c r="T93" s="328"/>
      <c r="U93" s="328"/>
      <c r="V93" s="330"/>
    </row>
    <row r="94" spans="1:22" s="281" customFormat="1" ht="15" x14ac:dyDescent="0.2">
      <c r="A94" s="280"/>
    </row>
    <row r="95" spans="1:22" s="285" customFormat="1" ht="15.75" x14ac:dyDescent="0.25">
      <c r="A95" s="284"/>
      <c r="B95" s="285" t="s">
        <v>149</v>
      </c>
      <c r="E95" s="286">
        <f t="shared" ref="E95:J95" si="22">+E23/E$87*4</f>
        <v>20.860868012145026</v>
      </c>
      <c r="F95" s="286">
        <f t="shared" si="22"/>
        <v>20.746561886051079</v>
      </c>
      <c r="G95" s="286">
        <f t="shared" si="22"/>
        <v>19.689230219682088</v>
      </c>
      <c r="H95" s="286">
        <f t="shared" si="22"/>
        <v>20.225040185747456</v>
      </c>
      <c r="I95" s="286">
        <f t="shared" si="22"/>
        <v>16.50294695481336</v>
      </c>
      <c r="J95" s="286">
        <f t="shared" si="22"/>
        <v>15.318735488480085</v>
      </c>
    </row>
    <row r="96" spans="1:22" s="285" customFormat="1" ht="15.75" x14ac:dyDescent="0.25">
      <c r="A96" s="284"/>
      <c r="E96" s="286"/>
      <c r="F96" s="286"/>
      <c r="G96" s="286"/>
      <c r="H96" s="286"/>
      <c r="I96" s="286"/>
      <c r="J96" s="286"/>
    </row>
    <row r="97" spans="1:22" s="285" customFormat="1" ht="15.75" x14ac:dyDescent="0.25">
      <c r="A97" s="284"/>
      <c r="B97" s="285" t="s">
        <v>166</v>
      </c>
      <c r="E97" s="286"/>
      <c r="F97" s="286"/>
      <c r="G97" s="286"/>
      <c r="H97" s="286"/>
      <c r="I97" s="286">
        <v>11.79</v>
      </c>
      <c r="J97" s="286">
        <v>12.25</v>
      </c>
    </row>
    <row r="98" spans="1:22" s="285" customFormat="1" ht="15.75" x14ac:dyDescent="0.25">
      <c r="A98" s="284"/>
      <c r="B98" s="285" t="s">
        <v>167</v>
      </c>
      <c r="E98" s="286"/>
      <c r="F98" s="286"/>
      <c r="G98" s="286"/>
      <c r="H98" s="286"/>
      <c r="I98" s="357">
        <f>+I97/I93</f>
        <v>0.81056249999999996</v>
      </c>
      <c r="J98" s="357">
        <f>+J97/J93</f>
        <v>0.92774409708695837</v>
      </c>
    </row>
    <row r="100" spans="1:22" s="96" customFormat="1" ht="15.75" x14ac:dyDescent="0.25">
      <c r="A100" s="302"/>
      <c r="B100" s="303"/>
      <c r="C100" s="304"/>
      <c r="D100" s="304"/>
      <c r="E100" s="304"/>
      <c r="F100" s="304"/>
      <c r="G100" s="304"/>
      <c r="H100" s="304"/>
      <c r="I100" s="304"/>
      <c r="J100" s="304"/>
      <c r="K100" s="304"/>
      <c r="L100" s="304"/>
      <c r="M100" s="304"/>
      <c r="N100" s="304"/>
      <c r="O100" s="304"/>
      <c r="P100" s="304"/>
      <c r="Q100" s="304"/>
      <c r="R100" s="304"/>
      <c r="S100" s="304"/>
      <c r="T100" s="304"/>
      <c r="U100" s="304"/>
      <c r="V100" s="305"/>
    </row>
    <row r="101" spans="1:22" s="96" customFormat="1" ht="15.75" x14ac:dyDescent="0.25">
      <c r="A101" s="302"/>
      <c r="B101" s="306" t="s">
        <v>152</v>
      </c>
      <c r="C101" s="307"/>
      <c r="D101" s="307"/>
      <c r="E101" s="307"/>
      <c r="F101" s="307"/>
      <c r="G101" s="307"/>
      <c r="H101" s="308">
        <v>61.75</v>
      </c>
      <c r="I101" s="308">
        <v>86.6</v>
      </c>
      <c r="J101" s="308">
        <v>86.5</v>
      </c>
      <c r="K101" s="307"/>
      <c r="L101" s="307"/>
      <c r="M101" s="307"/>
      <c r="N101" s="307"/>
      <c r="O101" s="307"/>
      <c r="P101" s="307"/>
      <c r="Q101" s="307"/>
      <c r="R101" s="307"/>
      <c r="S101" s="307"/>
      <c r="T101" s="307"/>
      <c r="U101" s="307"/>
      <c r="V101" s="309"/>
    </row>
    <row r="102" spans="1:22" s="96" customFormat="1" ht="15.75" x14ac:dyDescent="0.25">
      <c r="A102" s="302"/>
      <c r="B102" s="306" t="s">
        <v>153</v>
      </c>
      <c r="C102" s="307"/>
      <c r="D102" s="307"/>
      <c r="E102" s="307"/>
      <c r="F102" s="307"/>
      <c r="G102" s="307"/>
      <c r="H102" s="308">
        <v>47.98</v>
      </c>
      <c r="I102" s="308">
        <v>67.7</v>
      </c>
      <c r="J102" s="308">
        <v>68.5</v>
      </c>
      <c r="K102" s="307"/>
      <c r="L102" s="307"/>
      <c r="M102" s="307"/>
      <c r="N102" s="307"/>
      <c r="O102" s="307"/>
      <c r="P102" s="307"/>
      <c r="Q102" s="307"/>
      <c r="R102" s="307"/>
      <c r="S102" s="307"/>
      <c r="T102" s="307"/>
      <c r="U102" s="307"/>
      <c r="V102" s="309"/>
    </row>
    <row r="103" spans="1:22" s="96" customFormat="1" ht="15.75" x14ac:dyDescent="0.25">
      <c r="A103" s="302"/>
      <c r="B103" s="306"/>
      <c r="C103" s="307"/>
      <c r="D103" s="307"/>
      <c r="E103" s="307"/>
      <c r="F103" s="307"/>
      <c r="G103" s="307"/>
      <c r="H103" s="307"/>
      <c r="I103" s="307"/>
      <c r="J103" s="307"/>
      <c r="K103" s="307"/>
      <c r="L103" s="307"/>
      <c r="M103" s="307"/>
      <c r="N103" s="307"/>
      <c r="O103" s="307"/>
      <c r="P103" s="307"/>
      <c r="Q103" s="307"/>
      <c r="R103" s="307"/>
      <c r="S103" s="307"/>
      <c r="T103" s="307"/>
      <c r="U103" s="307"/>
      <c r="V103" s="309"/>
    </row>
    <row r="104" spans="1:22" s="96" customFormat="1" ht="15.75" x14ac:dyDescent="0.25">
      <c r="A104" s="302"/>
      <c r="B104" s="306" t="s">
        <v>154</v>
      </c>
      <c r="C104" s="307"/>
      <c r="D104" s="307"/>
      <c r="E104" s="307"/>
      <c r="F104" s="307"/>
      <c r="G104" s="307"/>
      <c r="H104" s="310">
        <f>+H101/$H$87</f>
        <v>2.2057510269691014</v>
      </c>
      <c r="I104" s="310">
        <f>+I101/$H$87</f>
        <v>3.0934095374173958</v>
      </c>
      <c r="J104" s="310">
        <f>+J101/$H$87</f>
        <v>3.0898374709769603</v>
      </c>
      <c r="K104" s="307"/>
      <c r="L104" s="307"/>
      <c r="M104" s="307"/>
      <c r="N104" s="307"/>
      <c r="O104" s="307"/>
      <c r="P104" s="307"/>
      <c r="Q104" s="307"/>
      <c r="R104" s="307"/>
      <c r="S104" s="307"/>
      <c r="T104" s="307"/>
      <c r="U104" s="307"/>
      <c r="V104" s="309"/>
    </row>
    <row r="105" spans="1:22" s="96" customFormat="1" ht="15.75" x14ac:dyDescent="0.25">
      <c r="A105" s="302"/>
      <c r="B105" s="306" t="s">
        <v>155</v>
      </c>
      <c r="C105" s="307"/>
      <c r="D105" s="307"/>
      <c r="E105" s="307"/>
      <c r="F105" s="307"/>
      <c r="G105" s="307"/>
      <c r="H105" s="310">
        <f>+H$102/H$87</f>
        <v>1.7138774781210928</v>
      </c>
      <c r="I105" s="310">
        <f>+I$102/H$87</f>
        <v>2.4182889801750314</v>
      </c>
      <c r="J105" s="310">
        <f>+J$102/I$87</f>
        <v>2.4468655116985176</v>
      </c>
      <c r="K105" s="307"/>
      <c r="L105" s="307"/>
      <c r="M105" s="307"/>
      <c r="N105" s="307"/>
      <c r="O105" s="307"/>
      <c r="P105" s="307"/>
      <c r="Q105" s="307"/>
      <c r="R105" s="307"/>
      <c r="S105" s="307"/>
      <c r="T105" s="307"/>
      <c r="U105" s="307"/>
      <c r="V105" s="309"/>
    </row>
    <row r="106" spans="1:22" s="96" customFormat="1" ht="15.75" x14ac:dyDescent="0.25">
      <c r="A106" s="302"/>
      <c r="B106" s="311" t="s">
        <v>162</v>
      </c>
      <c r="C106" s="312"/>
      <c r="D106" s="312"/>
      <c r="E106" s="312"/>
      <c r="F106" s="312"/>
      <c r="G106" s="312"/>
      <c r="H106" s="313">
        <f>+H105*4</f>
        <v>6.8555099124843712</v>
      </c>
      <c r="I106" s="313">
        <f>+I105*4</f>
        <v>9.6731559207001254</v>
      </c>
      <c r="J106" s="313">
        <f>+J105*4</f>
        <v>9.7874620467940705</v>
      </c>
      <c r="K106" s="312"/>
      <c r="L106" s="312"/>
      <c r="M106" s="312"/>
      <c r="N106" s="312"/>
      <c r="O106" s="312"/>
      <c r="P106" s="312"/>
      <c r="Q106" s="312"/>
      <c r="R106" s="312"/>
      <c r="S106" s="312"/>
      <c r="T106" s="312"/>
      <c r="U106" s="312"/>
      <c r="V106" s="314"/>
    </row>
    <row r="107" spans="1:22" s="16" customFormat="1" x14ac:dyDescent="0.2">
      <c r="A107" s="17"/>
    </row>
    <row r="108" spans="1:22" ht="20.25" x14ac:dyDescent="0.3">
      <c r="B108" s="316" t="s">
        <v>156</v>
      </c>
    </row>
    <row r="109" spans="1:22" ht="20.25" x14ac:dyDescent="0.3">
      <c r="B109" s="315" t="s">
        <v>158</v>
      </c>
    </row>
    <row r="110" spans="1:22" ht="20.25" x14ac:dyDescent="0.3">
      <c r="B110" s="315" t="s">
        <v>159</v>
      </c>
    </row>
    <row r="111" spans="1:22" ht="20.25" x14ac:dyDescent="0.3">
      <c r="B111" s="315" t="s">
        <v>157</v>
      </c>
    </row>
  </sheetData>
  <phoneticPr fontId="7" type="noConversion"/>
  <pageMargins left="0.75" right="0.75" top="1" bottom="1" header="0.5" footer="0.5"/>
  <pageSetup paperSize="9" orientation="portrait" horizontalDpi="0" verticalDpi="0" r:id="rId1"/>
  <headerFooter alignWithMargins="0"/>
  <legacyDrawing r:id="rId2"/>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3"/>
  <dimension ref="A1:V109"/>
  <sheetViews>
    <sheetView topLeftCell="A28" workbookViewId="0">
      <selection activeCell="J10" sqref="J10"/>
    </sheetView>
  </sheetViews>
  <sheetFormatPr defaultRowHeight="12.75" x14ac:dyDescent="0.2"/>
  <cols>
    <col min="1" max="1" width="4.5703125" style="6" customWidth="1"/>
    <col min="2" max="2" width="21.42578125" customWidth="1"/>
    <col min="3" max="3" width="8" customWidth="1"/>
    <col min="5" max="5" width="10.85546875" customWidth="1"/>
    <col min="6" max="16" width="9.7109375" customWidth="1"/>
    <col min="17" max="22" width="11.28515625" customWidth="1"/>
  </cols>
  <sheetData>
    <row r="1" spans="1:22" ht="33.75" thickBot="1" x14ac:dyDescent="0.65">
      <c r="B1" s="113" t="s">
        <v>165</v>
      </c>
      <c r="G1" s="98"/>
      <c r="H1" s="65"/>
      <c r="I1" s="64"/>
      <c r="J1" s="65" t="s">
        <v>108</v>
      </c>
      <c r="K1" s="64"/>
      <c r="L1" s="64"/>
    </row>
    <row r="2" spans="1:22" s="98" customFormat="1" ht="36" customHeight="1" thickBot="1" x14ac:dyDescent="0.55000000000000004">
      <c r="A2" s="31"/>
      <c r="B2" s="97"/>
      <c r="G2" s="269"/>
      <c r="H2" s="270"/>
      <c r="I2" s="271"/>
      <c r="J2" s="272" t="s">
        <v>164</v>
      </c>
      <c r="K2" s="271"/>
      <c r="L2" s="271"/>
      <c r="M2" s="273"/>
    </row>
    <row r="3" spans="1:22" ht="20.25" x14ac:dyDescent="0.3">
      <c r="B3" s="114" t="s">
        <v>110</v>
      </c>
      <c r="C3" s="95"/>
      <c r="D3" s="185"/>
      <c r="E3" s="104"/>
      <c r="F3" s="96"/>
    </row>
    <row r="4" spans="1:22" s="19" customFormat="1" ht="16.5" thickBot="1" x14ac:dyDescent="0.3">
      <c r="A4" s="17"/>
      <c r="C4" s="144"/>
      <c r="D4" s="175" t="s">
        <v>20</v>
      </c>
      <c r="E4" s="160" t="s">
        <v>1</v>
      </c>
      <c r="F4" s="20" t="s">
        <v>2</v>
      </c>
      <c r="G4" s="20" t="s">
        <v>3</v>
      </c>
      <c r="H4" s="20" t="s">
        <v>4</v>
      </c>
      <c r="I4" s="21" t="s">
        <v>5</v>
      </c>
      <c r="J4" s="21" t="s">
        <v>6</v>
      </c>
      <c r="K4" s="21" t="s">
        <v>7</v>
      </c>
      <c r="L4" s="21" t="s">
        <v>8</v>
      </c>
      <c r="M4" s="22" t="s">
        <v>9</v>
      </c>
      <c r="N4" s="22" t="s">
        <v>10</v>
      </c>
      <c r="O4" s="22" t="s">
        <v>11</v>
      </c>
      <c r="P4" s="22" t="s">
        <v>12</v>
      </c>
      <c r="Q4" s="274">
        <v>2015</v>
      </c>
      <c r="R4" s="279">
        <v>2016</v>
      </c>
      <c r="S4" s="274">
        <v>2017</v>
      </c>
      <c r="T4" s="279">
        <v>2018</v>
      </c>
      <c r="U4" s="274">
        <v>2019</v>
      </c>
      <c r="V4" s="279">
        <v>2020</v>
      </c>
    </row>
    <row r="5" spans="1:22" s="129" customFormat="1" ht="17.25" thickBot="1" x14ac:dyDescent="0.3">
      <c r="B5" s="136" t="s">
        <v>105</v>
      </c>
      <c r="C5" s="137"/>
      <c r="D5" s="137"/>
      <c r="E5" s="138"/>
      <c r="F5" s="138"/>
      <c r="G5" s="138"/>
      <c r="H5" s="139"/>
      <c r="I5" s="179"/>
      <c r="J5" s="138">
        <v>2.5000000000000001E-2</v>
      </c>
      <c r="K5" s="138">
        <f t="shared" ref="K5:O6" si="0">+J5</f>
        <v>2.5000000000000001E-2</v>
      </c>
      <c r="L5" s="139">
        <f t="shared" si="0"/>
        <v>2.5000000000000001E-2</v>
      </c>
      <c r="M5" s="181">
        <f t="shared" si="0"/>
        <v>2.5000000000000001E-2</v>
      </c>
      <c r="N5" s="138">
        <f t="shared" si="0"/>
        <v>2.5000000000000001E-2</v>
      </c>
      <c r="O5" s="138">
        <f t="shared" si="0"/>
        <v>2.5000000000000001E-2</v>
      </c>
      <c r="P5" s="139">
        <f>+O5</f>
        <v>2.5000000000000001E-2</v>
      </c>
      <c r="Q5" s="179">
        <v>0.15</v>
      </c>
      <c r="R5" s="179">
        <v>0.15</v>
      </c>
      <c r="S5" s="139">
        <v>0.15</v>
      </c>
      <c r="T5" s="139">
        <v>0.15</v>
      </c>
      <c r="U5" s="139">
        <v>0.15</v>
      </c>
      <c r="V5" s="139">
        <v>0.15</v>
      </c>
    </row>
    <row r="6" spans="1:22" s="129" customFormat="1" ht="17.25" thickBot="1" x14ac:dyDescent="0.3">
      <c r="B6" s="130" t="s">
        <v>106</v>
      </c>
      <c r="C6" s="131"/>
      <c r="D6" s="131"/>
      <c r="E6" s="138"/>
      <c r="F6" s="132"/>
      <c r="G6" s="132"/>
      <c r="H6" s="133"/>
      <c r="I6" s="180"/>
      <c r="J6" s="132">
        <v>-0.05</v>
      </c>
      <c r="K6" s="132">
        <f t="shared" si="0"/>
        <v>-0.05</v>
      </c>
      <c r="L6" s="133">
        <f t="shared" si="0"/>
        <v>-0.05</v>
      </c>
      <c r="M6" s="182">
        <f t="shared" si="0"/>
        <v>-0.05</v>
      </c>
      <c r="N6" s="132">
        <f t="shared" si="0"/>
        <v>-0.05</v>
      </c>
      <c r="O6" s="132">
        <f t="shared" si="0"/>
        <v>-0.05</v>
      </c>
      <c r="P6" s="133">
        <f>+O6</f>
        <v>-0.05</v>
      </c>
      <c r="Q6" s="180">
        <v>-0.15</v>
      </c>
      <c r="R6" s="180">
        <v>-0.15</v>
      </c>
      <c r="S6" s="133">
        <v>-0.1</v>
      </c>
      <c r="T6" s="133">
        <v>-0.05</v>
      </c>
      <c r="U6" s="133">
        <v>0</v>
      </c>
      <c r="V6" s="133">
        <v>0</v>
      </c>
    </row>
    <row r="7" spans="1:22" ht="20.25" x14ac:dyDescent="0.3">
      <c r="B7" s="94"/>
      <c r="C7" s="95"/>
      <c r="D7" s="95"/>
      <c r="E7" s="104"/>
      <c r="F7" s="238"/>
      <c r="G7" s="287"/>
      <c r="H7" s="340"/>
      <c r="I7" s="353"/>
    </row>
    <row r="8" spans="1:22" s="16" customFormat="1" ht="15.75" x14ac:dyDescent="0.25">
      <c r="A8" s="17"/>
      <c r="D8" s="155"/>
      <c r="E8" s="189"/>
      <c r="F8" s="189"/>
      <c r="G8" s="189"/>
      <c r="H8" s="341"/>
      <c r="I8" s="289" t="s">
        <v>56</v>
      </c>
    </row>
    <row r="9" spans="1:22" s="19" customFormat="1" x14ac:dyDescent="0.2">
      <c r="A9" s="17"/>
      <c r="C9" s="144" t="s">
        <v>36</v>
      </c>
      <c r="D9" s="175" t="s">
        <v>20</v>
      </c>
      <c r="E9" s="239" t="s">
        <v>1</v>
      </c>
      <c r="F9" s="239" t="s">
        <v>2</v>
      </c>
      <c r="G9" s="239" t="s">
        <v>3</v>
      </c>
      <c r="H9" s="332" t="s">
        <v>4</v>
      </c>
      <c r="I9" s="349" t="s">
        <v>5</v>
      </c>
      <c r="J9" s="21" t="s">
        <v>6</v>
      </c>
      <c r="K9" s="21" t="s">
        <v>7</v>
      </c>
      <c r="L9" s="21" t="s">
        <v>8</v>
      </c>
      <c r="M9" s="22" t="s">
        <v>9</v>
      </c>
      <c r="N9" s="22" t="s">
        <v>10</v>
      </c>
      <c r="O9" s="22" t="s">
        <v>11</v>
      </c>
      <c r="P9" s="22" t="s">
        <v>12</v>
      </c>
      <c r="Q9" s="331">
        <v>2015</v>
      </c>
      <c r="R9" s="115">
        <v>2016</v>
      </c>
      <c r="S9" s="331">
        <v>2017</v>
      </c>
      <c r="T9" s="115">
        <v>2018</v>
      </c>
      <c r="U9" s="331">
        <v>2019</v>
      </c>
      <c r="V9" s="115">
        <v>2020</v>
      </c>
    </row>
    <row r="10" spans="1:22" s="2" customFormat="1" x14ac:dyDescent="0.2">
      <c r="A10" s="31"/>
      <c r="B10" s="53" t="s">
        <v>57</v>
      </c>
      <c r="C10" s="145"/>
      <c r="D10" s="149"/>
      <c r="E10" s="149"/>
      <c r="F10" s="149"/>
      <c r="G10" s="149"/>
      <c r="H10" s="342"/>
      <c r="I10" s="290"/>
    </row>
    <row r="11" spans="1:22" s="2" customFormat="1" x14ac:dyDescent="0.2">
      <c r="A11" s="31"/>
      <c r="B11" s="103"/>
      <c r="C11" s="145"/>
      <c r="D11" s="149"/>
      <c r="E11" s="149"/>
      <c r="F11" s="149"/>
      <c r="G11" s="149"/>
      <c r="H11" s="342"/>
      <c r="I11" s="290"/>
    </row>
    <row r="12" spans="1:22" s="2" customFormat="1" x14ac:dyDescent="0.2">
      <c r="A12" s="31"/>
      <c r="B12" s="72" t="s">
        <v>73</v>
      </c>
      <c r="C12" s="145"/>
      <c r="D12" s="157">
        <v>90</v>
      </c>
      <c r="E12" s="157">
        <v>85.9</v>
      </c>
      <c r="F12" s="157">
        <v>89.7</v>
      </c>
      <c r="G12" s="157">
        <v>92</v>
      </c>
      <c r="H12" s="343">
        <v>99.7</v>
      </c>
      <c r="I12" s="291">
        <v>98.9</v>
      </c>
      <c r="J12" s="12">
        <f t="shared" ref="J12:P12" si="1">+I12*(1+J13)</f>
        <v>101.3725</v>
      </c>
      <c r="K12" s="12">
        <f t="shared" si="1"/>
        <v>103.90681249999999</v>
      </c>
      <c r="L12" s="12">
        <f t="shared" si="1"/>
        <v>106.50448281249997</v>
      </c>
      <c r="M12" s="12">
        <f t="shared" si="1"/>
        <v>109.16709488281246</v>
      </c>
      <c r="N12" s="12">
        <f t="shared" si="1"/>
        <v>111.89627225488276</v>
      </c>
      <c r="O12" s="12">
        <f t="shared" si="1"/>
        <v>114.69367906125481</v>
      </c>
      <c r="P12" s="12">
        <f t="shared" si="1"/>
        <v>117.56102103778618</v>
      </c>
      <c r="Q12" s="12">
        <f>+P12*4</f>
        <v>470.2440841511447</v>
      </c>
      <c r="R12" s="12">
        <f>+Q12*(1+R13)</f>
        <v>540.78069677381632</v>
      </c>
      <c r="S12" s="12">
        <f>+R12*(1+S13)</f>
        <v>621.89780128988866</v>
      </c>
      <c r="T12" s="12">
        <f>+S12*(1+T13)</f>
        <v>715.18247148337196</v>
      </c>
      <c r="U12" s="12">
        <f>+T12*(1+U13)</f>
        <v>822.45984220587764</v>
      </c>
      <c r="V12" s="12">
        <f>+U12*(1+V13)</f>
        <v>945.82881853675917</v>
      </c>
    </row>
    <row r="13" spans="1:22" s="2" customFormat="1" x14ac:dyDescent="0.2">
      <c r="A13" s="31"/>
      <c r="B13" s="73" t="s">
        <v>76</v>
      </c>
      <c r="C13" s="146"/>
      <c r="D13" s="146"/>
      <c r="E13" s="191">
        <f>(+E12-D12)/D12</f>
        <v>-4.5555555555555495E-2</v>
      </c>
      <c r="F13" s="191">
        <f>(+F12-E12)/E12</f>
        <v>4.4237485448195543E-2</v>
      </c>
      <c r="G13" s="191">
        <f>(+G12-F12)/F12</f>
        <v>2.5641025641025609E-2</v>
      </c>
      <c r="H13" s="345">
        <f>(+H12-G12)/G12</f>
        <v>8.3695652173913074E-2</v>
      </c>
      <c r="I13" s="294">
        <f>(+I12-H12)/H12</f>
        <v>-8.0240722166499204E-3</v>
      </c>
      <c r="J13" s="77">
        <f t="shared" ref="J13:R13" si="2">+J5</f>
        <v>2.5000000000000001E-2</v>
      </c>
      <c r="K13" s="77">
        <f t="shared" si="2"/>
        <v>2.5000000000000001E-2</v>
      </c>
      <c r="L13" s="77">
        <f t="shared" si="2"/>
        <v>2.5000000000000001E-2</v>
      </c>
      <c r="M13" s="77">
        <f t="shared" si="2"/>
        <v>2.5000000000000001E-2</v>
      </c>
      <c r="N13" s="77">
        <f t="shared" si="2"/>
        <v>2.5000000000000001E-2</v>
      </c>
      <c r="O13" s="77">
        <f t="shared" si="2"/>
        <v>2.5000000000000001E-2</v>
      </c>
      <c r="P13" s="77">
        <f t="shared" si="2"/>
        <v>2.5000000000000001E-2</v>
      </c>
      <c r="Q13" s="77">
        <f t="shared" si="2"/>
        <v>0.15</v>
      </c>
      <c r="R13" s="77">
        <f t="shared" si="2"/>
        <v>0.15</v>
      </c>
      <c r="S13" s="77">
        <f>+S5</f>
        <v>0.15</v>
      </c>
      <c r="T13" s="77">
        <f>+T5</f>
        <v>0.15</v>
      </c>
      <c r="U13" s="77">
        <f>+U5</f>
        <v>0.15</v>
      </c>
      <c r="V13" s="77">
        <f>+V5</f>
        <v>0.15</v>
      </c>
    </row>
    <row r="14" spans="1:22" s="111" customFormat="1" x14ac:dyDescent="0.2">
      <c r="A14" s="109"/>
      <c r="B14" s="110" t="s">
        <v>122</v>
      </c>
      <c r="C14" s="107"/>
      <c r="D14" s="107">
        <v>0.39400000000000002</v>
      </c>
      <c r="E14" s="107">
        <v>0.4</v>
      </c>
      <c r="F14" s="107">
        <f t="shared" ref="F14:R14" si="3">+E14</f>
        <v>0.4</v>
      </c>
      <c r="G14" s="107">
        <v>0.43</v>
      </c>
      <c r="H14" s="344">
        <v>0.495</v>
      </c>
      <c r="I14" s="293">
        <v>0.43</v>
      </c>
      <c r="J14" s="111">
        <f t="shared" si="3"/>
        <v>0.43</v>
      </c>
      <c r="K14" s="111">
        <f t="shared" si="3"/>
        <v>0.43</v>
      </c>
      <c r="L14" s="111">
        <f t="shared" si="3"/>
        <v>0.43</v>
      </c>
      <c r="M14" s="111">
        <f t="shared" si="3"/>
        <v>0.43</v>
      </c>
      <c r="N14" s="111">
        <f t="shared" si="3"/>
        <v>0.43</v>
      </c>
      <c r="O14" s="111">
        <f t="shared" si="3"/>
        <v>0.43</v>
      </c>
      <c r="P14" s="111">
        <f t="shared" si="3"/>
        <v>0.43</v>
      </c>
      <c r="Q14" s="111">
        <f t="shared" si="3"/>
        <v>0.43</v>
      </c>
      <c r="R14" s="111">
        <f t="shared" si="3"/>
        <v>0.43</v>
      </c>
      <c r="S14" s="111">
        <f>+R14</f>
        <v>0.43</v>
      </c>
      <c r="T14" s="111">
        <f>+S14</f>
        <v>0.43</v>
      </c>
      <c r="U14" s="111">
        <f>+T14</f>
        <v>0.43</v>
      </c>
      <c r="V14" s="111">
        <f>+U14</f>
        <v>0.43</v>
      </c>
    </row>
    <row r="15" spans="1:22" s="2" customFormat="1" x14ac:dyDescent="0.2">
      <c r="A15" s="31"/>
      <c r="B15" s="26" t="s">
        <v>75</v>
      </c>
      <c r="C15" s="145"/>
      <c r="D15" s="80">
        <f>+D12*D14</f>
        <v>35.46</v>
      </c>
      <c r="E15" s="80">
        <f>+E12*E14</f>
        <v>34.360000000000007</v>
      </c>
      <c r="F15" s="80">
        <f t="shared" ref="F15:R15" si="4">+F12*F14</f>
        <v>35.880000000000003</v>
      </c>
      <c r="G15" s="80">
        <f t="shared" si="4"/>
        <v>39.56</v>
      </c>
      <c r="H15" s="333">
        <f t="shared" si="4"/>
        <v>49.351500000000001</v>
      </c>
      <c r="I15" s="205">
        <f t="shared" si="4"/>
        <v>42.527000000000001</v>
      </c>
      <c r="J15" s="80">
        <f t="shared" si="4"/>
        <v>43.590175000000002</v>
      </c>
      <c r="K15" s="80">
        <f t="shared" si="4"/>
        <v>44.679929374999993</v>
      </c>
      <c r="L15" s="80">
        <f t="shared" si="4"/>
        <v>45.79692760937499</v>
      </c>
      <c r="M15" s="80">
        <f t="shared" si="4"/>
        <v>46.941850799609355</v>
      </c>
      <c r="N15" s="80">
        <f t="shared" si="4"/>
        <v>48.115397069599588</v>
      </c>
      <c r="O15" s="80">
        <f t="shared" si="4"/>
        <v>49.318281996339572</v>
      </c>
      <c r="P15" s="80">
        <f t="shared" si="4"/>
        <v>50.551239046248057</v>
      </c>
      <c r="Q15" s="80">
        <f t="shared" si="4"/>
        <v>202.20495618499223</v>
      </c>
      <c r="R15" s="80">
        <f t="shared" si="4"/>
        <v>232.53569961274101</v>
      </c>
      <c r="S15" s="80">
        <f>+S12*S14</f>
        <v>267.41605455465213</v>
      </c>
      <c r="T15" s="80">
        <f>+T12*T14</f>
        <v>307.52846273784996</v>
      </c>
      <c r="U15" s="80">
        <f>+U12*U14</f>
        <v>353.65773214852737</v>
      </c>
      <c r="V15" s="80">
        <f>+V12*V14</f>
        <v>406.70639197080646</v>
      </c>
    </row>
    <row r="16" spans="1:22" s="2" customFormat="1" x14ac:dyDescent="0.2">
      <c r="A16" s="31"/>
      <c r="B16" s="72"/>
      <c r="C16" s="145"/>
      <c r="D16" s="157"/>
      <c r="E16" s="157"/>
      <c r="F16" s="157"/>
      <c r="G16" s="157"/>
      <c r="H16" s="343"/>
      <c r="I16" s="291"/>
      <c r="J16" s="12"/>
      <c r="K16" s="12"/>
      <c r="L16" s="12"/>
      <c r="M16" s="12"/>
      <c r="N16" s="12"/>
      <c r="O16" s="12"/>
      <c r="P16" s="12"/>
      <c r="Q16" s="12"/>
      <c r="R16" s="12"/>
      <c r="S16" s="12"/>
      <c r="T16" s="12"/>
      <c r="U16" s="12"/>
      <c r="V16" s="12"/>
    </row>
    <row r="17" spans="1:22" s="2" customFormat="1" x14ac:dyDescent="0.2">
      <c r="A17" s="31"/>
      <c r="B17" s="72" t="s">
        <v>74</v>
      </c>
      <c r="C17" s="145"/>
      <c r="D17" s="157">
        <v>223.3</v>
      </c>
      <c r="E17" s="157">
        <f>+E22-E12</f>
        <v>203.20000000000002</v>
      </c>
      <c r="F17" s="157">
        <f>+F22-F12</f>
        <v>196.8</v>
      </c>
      <c r="G17" s="157">
        <f>+G22-G12</f>
        <v>175.7</v>
      </c>
      <c r="H17" s="343">
        <f>+H22-H12</f>
        <v>164.7</v>
      </c>
      <c r="I17" s="291">
        <v>154.4</v>
      </c>
      <c r="J17" s="12">
        <f t="shared" ref="J17:R17" si="5">+I17*(1+J18)</f>
        <v>146.68</v>
      </c>
      <c r="K17" s="12">
        <f t="shared" si="5"/>
        <v>139.346</v>
      </c>
      <c r="L17" s="12">
        <f t="shared" si="5"/>
        <v>132.37870000000001</v>
      </c>
      <c r="M17" s="12">
        <f t="shared" si="5"/>
        <v>125.759765</v>
      </c>
      <c r="N17" s="12">
        <f t="shared" si="5"/>
        <v>119.47177674999999</v>
      </c>
      <c r="O17" s="12">
        <f t="shared" si="5"/>
        <v>113.49818791249999</v>
      </c>
      <c r="P17" s="12">
        <f t="shared" si="5"/>
        <v>107.82327851687498</v>
      </c>
      <c r="Q17" s="12">
        <f>+P17*4</f>
        <v>431.29311406749991</v>
      </c>
      <c r="R17" s="12">
        <f t="shared" si="5"/>
        <v>366.5991469573749</v>
      </c>
      <c r="S17" s="12">
        <f>+R17*(1+S18)</f>
        <v>329.93923226163741</v>
      </c>
      <c r="T17" s="12">
        <f>+S17*(1+T18)</f>
        <v>313.44227064855551</v>
      </c>
      <c r="U17" s="12">
        <f>+T17*(1+U18)</f>
        <v>313.44227064855551</v>
      </c>
      <c r="V17" s="12">
        <f>+U17*(1+V18)</f>
        <v>313.44227064855551</v>
      </c>
    </row>
    <row r="18" spans="1:22" s="2" customFormat="1" x14ac:dyDescent="0.2">
      <c r="A18" s="31"/>
      <c r="B18" s="73" t="s">
        <v>79</v>
      </c>
      <c r="C18" s="145"/>
      <c r="D18" s="157"/>
      <c r="E18" s="191">
        <f>(+E17-D17)/D17</f>
        <v>-9.001343484102102E-2</v>
      </c>
      <c r="F18" s="191">
        <f>(+F17-E17)/E17</f>
        <v>-3.1496062992126012E-2</v>
      </c>
      <c r="G18" s="191">
        <f>(+G17-F17)/F17</f>
        <v>-0.10721544715447165</v>
      </c>
      <c r="H18" s="345">
        <f>(+H17-G17)/G17</f>
        <v>-6.2606715993170178E-2</v>
      </c>
      <c r="I18" s="294">
        <f>(+I17-H17)/H17</f>
        <v>-6.2537947783849329E-2</v>
      </c>
      <c r="J18" s="78">
        <f t="shared" ref="J18:R18" si="6">+J6</f>
        <v>-0.05</v>
      </c>
      <c r="K18" s="78">
        <f t="shared" si="6"/>
        <v>-0.05</v>
      </c>
      <c r="L18" s="78">
        <f t="shared" si="6"/>
        <v>-0.05</v>
      </c>
      <c r="M18" s="78">
        <f t="shared" si="6"/>
        <v>-0.05</v>
      </c>
      <c r="N18" s="78">
        <f t="shared" si="6"/>
        <v>-0.05</v>
      </c>
      <c r="O18" s="78">
        <f t="shared" si="6"/>
        <v>-0.05</v>
      </c>
      <c r="P18" s="78">
        <f t="shared" si="6"/>
        <v>-0.05</v>
      </c>
      <c r="Q18" s="78">
        <f t="shared" si="6"/>
        <v>-0.15</v>
      </c>
      <c r="R18" s="78">
        <f t="shared" si="6"/>
        <v>-0.15</v>
      </c>
      <c r="S18" s="78">
        <f>+S6</f>
        <v>-0.1</v>
      </c>
      <c r="T18" s="78">
        <f>+T6</f>
        <v>-0.05</v>
      </c>
      <c r="U18" s="78">
        <f>+U6</f>
        <v>0</v>
      </c>
      <c r="V18" s="78">
        <f>+V6</f>
        <v>0</v>
      </c>
    </row>
    <row r="19" spans="1:22" s="111" customFormat="1" x14ac:dyDescent="0.2">
      <c r="A19" s="109"/>
      <c r="B19" s="110" t="s">
        <v>122</v>
      </c>
      <c r="C19" s="147"/>
      <c r="D19" s="107">
        <v>0.5</v>
      </c>
      <c r="E19" s="107">
        <f>+E20/E17</f>
        <v>0.54940944881889753</v>
      </c>
      <c r="F19" s="107">
        <f>+F20/F17</f>
        <v>0.55548780487804872</v>
      </c>
      <c r="G19" s="107">
        <f>+G20/G17</f>
        <v>0.55913488901536723</v>
      </c>
      <c r="H19" s="344">
        <f>+H20/H17</f>
        <v>0.55979659987856722</v>
      </c>
      <c r="I19" s="293">
        <f>+I20/I17</f>
        <v>0.4726230569948186</v>
      </c>
      <c r="J19" s="107">
        <v>0.53500000000000003</v>
      </c>
      <c r="K19" s="107">
        <v>0.53</v>
      </c>
      <c r="L19" s="107">
        <v>0.53</v>
      </c>
      <c r="M19" s="107">
        <v>0.53</v>
      </c>
      <c r="N19" s="107">
        <v>0.53</v>
      </c>
      <c r="O19" s="107">
        <v>0.53</v>
      </c>
      <c r="P19" s="107">
        <v>0.53</v>
      </c>
      <c r="Q19" s="107">
        <v>0.53</v>
      </c>
      <c r="R19" s="107">
        <v>0.53</v>
      </c>
      <c r="S19" s="107">
        <v>0.53</v>
      </c>
      <c r="T19" s="107">
        <v>0.53</v>
      </c>
      <c r="U19" s="107">
        <v>0.53</v>
      </c>
      <c r="V19" s="107">
        <v>0.53</v>
      </c>
    </row>
    <row r="20" spans="1:22" s="2" customFormat="1" x14ac:dyDescent="0.2">
      <c r="A20" s="31"/>
      <c r="B20" s="26" t="s">
        <v>77</v>
      </c>
      <c r="C20" s="145"/>
      <c r="D20" s="80">
        <f>+D17*D19</f>
        <v>111.65</v>
      </c>
      <c r="E20" s="80">
        <f>+E23-E15</f>
        <v>111.63999999999999</v>
      </c>
      <c r="F20" s="80">
        <f>+F23-F15</f>
        <v>109.32</v>
      </c>
      <c r="G20" s="80">
        <f>+G23-G15</f>
        <v>98.240000000000009</v>
      </c>
      <c r="H20" s="333">
        <f>+H23-H15</f>
        <v>92.19850000000001</v>
      </c>
      <c r="I20" s="205">
        <f>+I23-I15</f>
        <v>72.972999999999999</v>
      </c>
      <c r="J20" s="80">
        <f t="shared" ref="J20:R20" si="7">+J17*J19</f>
        <v>78.473800000000011</v>
      </c>
      <c r="K20" s="80">
        <f t="shared" si="7"/>
        <v>73.853380000000001</v>
      </c>
      <c r="L20" s="80">
        <f t="shared" si="7"/>
        <v>70.160711000000006</v>
      </c>
      <c r="M20" s="80">
        <f t="shared" si="7"/>
        <v>66.652675450000004</v>
      </c>
      <c r="N20" s="80">
        <f t="shared" si="7"/>
        <v>63.320041677500001</v>
      </c>
      <c r="O20" s="80">
        <f t="shared" si="7"/>
        <v>60.154039593624994</v>
      </c>
      <c r="P20" s="80">
        <f t="shared" si="7"/>
        <v>57.146337613943743</v>
      </c>
      <c r="Q20" s="80">
        <f t="shared" si="7"/>
        <v>228.58535045577497</v>
      </c>
      <c r="R20" s="80">
        <f t="shared" si="7"/>
        <v>194.29754788740871</v>
      </c>
      <c r="S20" s="80">
        <f>+S17*S19</f>
        <v>174.86779309866785</v>
      </c>
      <c r="T20" s="80">
        <f>+T17*T19</f>
        <v>166.12440344373442</v>
      </c>
      <c r="U20" s="80">
        <f>+U17*U19</f>
        <v>166.12440344373442</v>
      </c>
      <c r="V20" s="80">
        <f>+V17*V19</f>
        <v>166.12440344373442</v>
      </c>
    </row>
    <row r="21" spans="1:22" s="2" customFormat="1" x14ac:dyDescent="0.2">
      <c r="A21" s="31"/>
      <c r="B21" s="73"/>
      <c r="C21" s="145"/>
      <c r="D21" s="38"/>
      <c r="E21" s="38"/>
      <c r="F21" s="38"/>
      <c r="G21" s="38"/>
      <c r="H21" s="346"/>
      <c r="I21" s="295"/>
      <c r="J21" s="38"/>
      <c r="K21" s="38"/>
      <c r="L21" s="38"/>
      <c r="M21" s="38"/>
      <c r="N21" s="38"/>
      <c r="O21" s="38"/>
      <c r="P21" s="38"/>
      <c r="Q21" s="38"/>
      <c r="R21" s="38"/>
      <c r="S21" s="38"/>
      <c r="T21" s="38"/>
      <c r="U21" s="38"/>
      <c r="V21" s="38"/>
    </row>
    <row r="22" spans="1:22" s="2" customFormat="1" x14ac:dyDescent="0.2">
      <c r="A22" s="31"/>
      <c r="B22" s="73" t="s">
        <v>80</v>
      </c>
      <c r="C22" s="145"/>
      <c r="D22" s="157">
        <f>+D12+D17</f>
        <v>313.3</v>
      </c>
      <c r="E22" s="157">
        <v>289.10000000000002</v>
      </c>
      <c r="F22" s="157">
        <v>286.5</v>
      </c>
      <c r="G22" s="157">
        <v>267.7</v>
      </c>
      <c r="H22" s="343">
        <v>264.39999999999998</v>
      </c>
      <c r="I22" s="291">
        <f t="shared" ref="I22:R22" si="8">+I12+I17</f>
        <v>253.3</v>
      </c>
      <c r="J22" s="12">
        <f t="shared" si="8"/>
        <v>248.05250000000001</v>
      </c>
      <c r="K22" s="12">
        <f t="shared" si="8"/>
        <v>243.2528125</v>
      </c>
      <c r="L22" s="12">
        <f t="shared" si="8"/>
        <v>238.88318281249997</v>
      </c>
      <c r="M22" s="12">
        <f t="shared" si="8"/>
        <v>234.92685988281247</v>
      </c>
      <c r="N22" s="12">
        <f t="shared" si="8"/>
        <v>231.36804900488275</v>
      </c>
      <c r="O22" s="12">
        <f t="shared" si="8"/>
        <v>228.1918669737548</v>
      </c>
      <c r="P22" s="12">
        <f t="shared" si="8"/>
        <v>225.38429955466114</v>
      </c>
      <c r="Q22" s="12">
        <f t="shared" si="8"/>
        <v>901.53719821864456</v>
      </c>
      <c r="R22" s="12">
        <f t="shared" si="8"/>
        <v>907.37984373119116</v>
      </c>
      <c r="S22" s="12">
        <f>+S12+S17</f>
        <v>951.83703355152602</v>
      </c>
      <c r="T22" s="12">
        <f>+T12+T17</f>
        <v>1028.6247421319274</v>
      </c>
      <c r="U22" s="12">
        <f>+U12+U17</f>
        <v>1135.9021128544332</v>
      </c>
      <c r="V22" s="12">
        <f>+V12+V17</f>
        <v>1259.2710891853146</v>
      </c>
    </row>
    <row r="23" spans="1:22" s="26" customFormat="1" ht="13.5" thickBot="1" x14ac:dyDescent="0.25">
      <c r="A23" s="32" t="s">
        <v>15</v>
      </c>
      <c r="B23" s="32" t="s">
        <v>112</v>
      </c>
      <c r="C23" s="148"/>
      <c r="D23" s="81">
        <f>+D15+D20</f>
        <v>147.11000000000001</v>
      </c>
      <c r="E23" s="81">
        <v>146</v>
      </c>
      <c r="F23" s="81">
        <v>145.19999999999999</v>
      </c>
      <c r="G23" s="81">
        <v>137.80000000000001</v>
      </c>
      <c r="H23" s="334">
        <v>141.55000000000001</v>
      </c>
      <c r="I23" s="208">
        <v>115.5</v>
      </c>
      <c r="J23" s="81">
        <f t="shared" ref="J23:R23" si="9">+J15+J20</f>
        <v>122.06397500000001</v>
      </c>
      <c r="K23" s="81">
        <f t="shared" si="9"/>
        <v>118.53330937499999</v>
      </c>
      <c r="L23" s="81">
        <f t="shared" si="9"/>
        <v>115.957638609375</v>
      </c>
      <c r="M23" s="81">
        <f t="shared" si="9"/>
        <v>113.59452624960936</v>
      </c>
      <c r="N23" s="81">
        <f t="shared" si="9"/>
        <v>111.4354387470996</v>
      </c>
      <c r="O23" s="81">
        <f t="shared" si="9"/>
        <v>109.47232158996457</v>
      </c>
      <c r="P23" s="81">
        <f t="shared" si="9"/>
        <v>107.6975766601918</v>
      </c>
      <c r="Q23" s="81">
        <f t="shared" si="9"/>
        <v>430.7903066407672</v>
      </c>
      <c r="R23" s="81">
        <f t="shared" si="9"/>
        <v>426.8332475001497</v>
      </c>
      <c r="S23" s="81">
        <f>+S15+S20</f>
        <v>442.28384765331998</v>
      </c>
      <c r="T23" s="81">
        <f>+T15+T20</f>
        <v>473.65286618158439</v>
      </c>
      <c r="U23" s="81">
        <f>+U15+U20</f>
        <v>519.78213559226174</v>
      </c>
      <c r="V23" s="81">
        <f>+V15+V20</f>
        <v>572.83079541454094</v>
      </c>
    </row>
    <row r="24" spans="1:22" s="26" customFormat="1" ht="13.5" thickTop="1" x14ac:dyDescent="0.2">
      <c r="A24" s="32"/>
      <c r="B24" s="26" t="s">
        <v>81</v>
      </c>
      <c r="C24" s="148" t="s">
        <v>125</v>
      </c>
      <c r="D24" s="83">
        <f>+D23/D22</f>
        <v>0.46954995212256628</v>
      </c>
      <c r="E24" s="241">
        <f>+E23/E22</f>
        <v>0.50501556554825311</v>
      </c>
      <c r="F24" s="241">
        <f>+F23/F22</f>
        <v>0.50680628272251305</v>
      </c>
      <c r="G24" s="241">
        <f t="shared" ref="G24:R24" si="10">+G23/G22</f>
        <v>0.51475532312289884</v>
      </c>
      <c r="H24" s="335">
        <f t="shared" si="10"/>
        <v>0.53536308623298046</v>
      </c>
      <c r="I24" s="350">
        <f t="shared" si="10"/>
        <v>0.45598105013817608</v>
      </c>
      <c r="J24" s="240">
        <f t="shared" si="10"/>
        <v>0.49208927545580072</v>
      </c>
      <c r="K24" s="240">
        <f t="shared" si="10"/>
        <v>0.48728443530329163</v>
      </c>
      <c r="L24" s="240">
        <f t="shared" si="10"/>
        <v>0.48541566318793755</v>
      </c>
      <c r="M24" s="251">
        <f t="shared" si="10"/>
        <v>0.48353145445468948</v>
      </c>
      <c r="N24" s="251">
        <f t="shared" si="10"/>
        <v>0.48163711120176272</v>
      </c>
      <c r="O24" s="251">
        <f t="shared" si="10"/>
        <v>0.47973805132395619</v>
      </c>
      <c r="P24" s="251">
        <f t="shared" si="10"/>
        <v>0.47783974692555076</v>
      </c>
      <c r="Q24" s="276">
        <f t="shared" si="10"/>
        <v>0.47783974692555076</v>
      </c>
      <c r="R24" s="241">
        <f t="shared" si="10"/>
        <v>0.47040194957934056</v>
      </c>
      <c r="S24" s="276">
        <f>+S23/S22</f>
        <v>0.46466341617646012</v>
      </c>
      <c r="T24" s="241">
        <f>+T23/T22</f>
        <v>0.46047197464829748</v>
      </c>
      <c r="U24" s="276">
        <f>+U23/U22</f>
        <v>0.45759412691476548</v>
      </c>
      <c r="V24" s="241">
        <f>+V23/V22</f>
        <v>0.45489077001293965</v>
      </c>
    </row>
    <row r="25" spans="1:22" s="2" customFormat="1" x14ac:dyDescent="0.2">
      <c r="A25" s="31"/>
      <c r="B25" s="103"/>
      <c r="C25" s="145"/>
      <c r="D25" s="149"/>
      <c r="E25" s="149"/>
      <c r="F25" s="149"/>
      <c r="G25" s="149"/>
      <c r="H25" s="342"/>
      <c r="I25" s="290"/>
    </row>
    <row r="26" spans="1:22" s="26" customFormat="1" x14ac:dyDescent="0.2">
      <c r="A26" s="32"/>
      <c r="B26" s="25"/>
      <c r="C26" s="148"/>
      <c r="D26" s="38"/>
      <c r="E26" s="38"/>
      <c r="F26" s="38"/>
      <c r="G26" s="38"/>
      <c r="H26" s="346"/>
      <c r="I26" s="295"/>
      <c r="J26" s="38"/>
      <c r="K26" s="38"/>
      <c r="L26" s="38"/>
      <c r="M26" s="38"/>
      <c r="N26" s="38"/>
      <c r="O26" s="38"/>
      <c r="P26" s="38"/>
      <c r="Q26" s="38"/>
      <c r="R26" s="38"/>
      <c r="S26" s="38"/>
      <c r="T26" s="38"/>
      <c r="U26" s="38"/>
      <c r="V26" s="38"/>
    </row>
    <row r="27" spans="1:22" s="2" customFormat="1" x14ac:dyDescent="0.2">
      <c r="A27" s="31"/>
      <c r="B27" s="53" t="s">
        <v>47</v>
      </c>
      <c r="C27" s="149"/>
      <c r="D27" s="157"/>
      <c r="E27" s="157"/>
      <c r="F27" s="157"/>
      <c r="G27" s="157"/>
      <c r="H27" s="343"/>
      <c r="I27" s="291"/>
      <c r="J27" s="12"/>
      <c r="K27" s="12"/>
      <c r="L27" s="12"/>
      <c r="M27" s="12"/>
      <c r="N27" s="12"/>
      <c r="O27" s="12"/>
      <c r="P27" s="12"/>
      <c r="Q27" s="12"/>
      <c r="R27" s="12"/>
      <c r="S27" s="12"/>
      <c r="T27" s="12"/>
      <c r="U27" s="12"/>
      <c r="V27" s="12"/>
    </row>
    <row r="28" spans="1:22" s="2" customFormat="1" x14ac:dyDescent="0.2">
      <c r="A28" s="31"/>
      <c r="B28" s="25" t="s">
        <v>17</v>
      </c>
      <c r="C28" s="149"/>
      <c r="D28" s="157"/>
      <c r="E28" s="157"/>
      <c r="F28" s="157"/>
      <c r="G28" s="157"/>
      <c r="H28" s="343"/>
      <c r="I28" s="291"/>
      <c r="J28" s="12"/>
      <c r="K28" s="12"/>
      <c r="L28" s="12"/>
      <c r="M28" s="12"/>
      <c r="N28" s="12"/>
      <c r="O28" s="12"/>
      <c r="P28" s="12"/>
      <c r="Q28" s="12"/>
      <c r="R28" s="12"/>
      <c r="S28" s="12"/>
      <c r="T28" s="12"/>
      <c r="U28" s="12"/>
      <c r="V28" s="12"/>
    </row>
    <row r="29" spans="1:22" s="2" customFormat="1" x14ac:dyDescent="0.2">
      <c r="A29" s="31"/>
      <c r="B29" s="1" t="s">
        <v>89</v>
      </c>
      <c r="C29" s="149"/>
      <c r="D29" s="157">
        <v>3.3250000000000002</v>
      </c>
      <c r="E29" s="157">
        <v>2.0699999999999998</v>
      </c>
      <c r="F29" s="157">
        <v>1.7825</v>
      </c>
      <c r="G29" s="157">
        <v>1.4950000000000001</v>
      </c>
      <c r="H29" s="343">
        <v>1.2075</v>
      </c>
      <c r="I29" s="291"/>
      <c r="J29" s="12"/>
      <c r="K29" s="12"/>
      <c r="L29" s="12"/>
      <c r="M29" s="12"/>
      <c r="N29" s="12"/>
      <c r="O29" s="12"/>
      <c r="P29" s="12"/>
      <c r="Q29" s="12"/>
      <c r="R29" s="12"/>
      <c r="S29" s="12"/>
      <c r="T29" s="12"/>
      <c r="U29" s="12"/>
      <c r="V29" s="12"/>
    </row>
    <row r="30" spans="1:22" s="2" customFormat="1" x14ac:dyDescent="0.2">
      <c r="A30" s="31"/>
      <c r="B30" s="1" t="s">
        <v>90</v>
      </c>
      <c r="C30" s="149"/>
      <c r="D30" s="157"/>
      <c r="E30" s="157">
        <v>2.629</v>
      </c>
      <c r="F30" s="157">
        <v>2.629</v>
      </c>
      <c r="G30" s="157">
        <v>2.629</v>
      </c>
      <c r="H30" s="343">
        <v>2.629</v>
      </c>
      <c r="I30" s="291"/>
      <c r="J30" s="12"/>
      <c r="K30" s="12"/>
      <c r="L30" s="12"/>
      <c r="M30" s="12"/>
      <c r="N30" s="12"/>
      <c r="O30" s="12"/>
      <c r="P30" s="12"/>
      <c r="Q30" s="12"/>
      <c r="R30" s="12"/>
      <c r="S30" s="12"/>
      <c r="T30" s="12"/>
      <c r="U30" s="12"/>
      <c r="V30" s="12"/>
    </row>
    <row r="31" spans="1:22" s="2" customFormat="1" x14ac:dyDescent="0.2">
      <c r="A31" s="31"/>
      <c r="B31" s="1" t="s">
        <v>25</v>
      </c>
      <c r="C31" s="187"/>
      <c r="D31" s="157">
        <v>0</v>
      </c>
      <c r="E31" s="157">
        <v>0</v>
      </c>
      <c r="F31" s="157"/>
      <c r="G31" s="157"/>
      <c r="H31" s="343"/>
      <c r="I31" s="291"/>
      <c r="J31" s="12"/>
      <c r="K31" s="12"/>
      <c r="L31" s="12"/>
      <c r="M31" s="12"/>
      <c r="N31" s="12"/>
      <c r="O31" s="12"/>
      <c r="P31" s="12"/>
      <c r="Q31" s="12"/>
      <c r="R31" s="12"/>
      <c r="S31" s="12"/>
      <c r="T31" s="12"/>
      <c r="U31" s="12"/>
      <c r="V31" s="12"/>
    </row>
    <row r="32" spans="1:22" s="2" customFormat="1" x14ac:dyDescent="0.2">
      <c r="A32" s="31"/>
      <c r="B32" s="1" t="s">
        <v>34</v>
      </c>
      <c r="C32" s="149"/>
      <c r="D32" s="157">
        <v>2.875</v>
      </c>
      <c r="E32" s="157">
        <v>2.875</v>
      </c>
      <c r="F32" s="157">
        <v>2.875</v>
      </c>
      <c r="G32" s="157">
        <v>2.875</v>
      </c>
      <c r="H32" s="343">
        <v>2.875</v>
      </c>
      <c r="I32" s="291"/>
      <c r="J32" s="12"/>
      <c r="K32" s="12"/>
      <c r="L32" s="12"/>
      <c r="M32" s="12"/>
      <c r="N32" s="12"/>
      <c r="O32" s="12"/>
      <c r="P32" s="12"/>
      <c r="Q32" s="12"/>
      <c r="R32" s="12"/>
      <c r="S32" s="12"/>
      <c r="T32" s="12"/>
      <c r="U32" s="12"/>
      <c r="V32" s="12"/>
    </row>
    <row r="33" spans="1:22" s="2" customFormat="1" x14ac:dyDescent="0.2">
      <c r="A33" s="31"/>
      <c r="B33" s="19" t="s">
        <v>14</v>
      </c>
      <c r="C33" s="149"/>
      <c r="D33" s="157">
        <v>29.359500000000001</v>
      </c>
      <c r="E33" s="157">
        <v>25.359500000000001</v>
      </c>
      <c r="F33" s="157">
        <v>19.759499999999999</v>
      </c>
      <c r="G33" s="157">
        <v>27.929500000000001</v>
      </c>
      <c r="H33" s="343">
        <v>22.459499999999998</v>
      </c>
      <c r="I33" s="291"/>
      <c r="J33" s="12"/>
      <c r="K33" s="12"/>
      <c r="L33" s="12"/>
      <c r="M33" s="12"/>
      <c r="N33" s="12"/>
      <c r="O33" s="12"/>
      <c r="P33" s="12"/>
      <c r="Q33" s="12"/>
      <c r="R33" s="12"/>
      <c r="S33" s="12"/>
      <c r="T33" s="12"/>
      <c r="U33" s="12"/>
      <c r="V33" s="12"/>
    </row>
    <row r="34" spans="1:22" s="2" customFormat="1" x14ac:dyDescent="0.2">
      <c r="A34" s="31"/>
      <c r="B34" s="19"/>
      <c r="C34" s="149"/>
      <c r="D34" s="157"/>
      <c r="E34" s="157"/>
      <c r="F34" s="157"/>
      <c r="G34" s="157"/>
      <c r="H34" s="343"/>
      <c r="I34" s="291"/>
      <c r="J34" s="12"/>
      <c r="K34" s="12"/>
      <c r="L34" s="12"/>
      <c r="M34" s="12"/>
      <c r="N34" s="12"/>
      <c r="O34" s="12"/>
      <c r="P34" s="12"/>
      <c r="Q34" s="12"/>
      <c r="R34" s="12"/>
      <c r="S34" s="12"/>
      <c r="T34" s="12"/>
      <c r="U34" s="12"/>
      <c r="V34" s="12"/>
    </row>
    <row r="35" spans="1:22" s="2" customFormat="1" x14ac:dyDescent="0.2">
      <c r="A35" s="31"/>
      <c r="B35" s="19" t="s">
        <v>134</v>
      </c>
      <c r="C35" s="149"/>
      <c r="D35" s="157"/>
      <c r="E35" s="157"/>
      <c r="F35" s="157"/>
      <c r="G35" s="157"/>
      <c r="H35" s="343"/>
      <c r="I35" s="291">
        <f>14-I36</f>
        <v>14</v>
      </c>
      <c r="J35" s="12">
        <f t="shared" ref="J35:P35" si="11">(+I79-107.5)*(0.0925/4)</f>
        <v>18.493062500000001</v>
      </c>
      <c r="K35" s="12">
        <f t="shared" si="11"/>
        <v>17.889500000000002</v>
      </c>
      <c r="L35" s="12">
        <f t="shared" si="11"/>
        <v>17.889500000000002</v>
      </c>
      <c r="M35" s="12">
        <f t="shared" si="11"/>
        <v>15.427819667480469</v>
      </c>
      <c r="N35" s="12">
        <f t="shared" si="11"/>
        <v>15.427819667480469</v>
      </c>
      <c r="O35" s="12">
        <f t="shared" si="11"/>
        <v>13.399384071190322</v>
      </c>
      <c r="P35" s="12">
        <f t="shared" si="11"/>
        <v>13.399384071190322</v>
      </c>
      <c r="Q35" s="12">
        <f>(+P79-107.5)*(0.0925)</f>
        <v>45.147622670747751</v>
      </c>
      <c r="R35" s="12">
        <f>(+Q79-107.5)*(0.0925)</f>
        <v>28.767319919310765</v>
      </c>
      <c r="S35" s="12">
        <f>(+R79-107.5)*(0.0925)</f>
        <v>12.669358718890663</v>
      </c>
      <c r="T35" s="12">
        <f>(+S79-107.5)*(0.0925)</f>
        <v>-0.68296500703003538</v>
      </c>
      <c r="U35" s="12"/>
      <c r="V35" s="12"/>
    </row>
    <row r="36" spans="1:22" s="2" customFormat="1" x14ac:dyDescent="0.2">
      <c r="A36" s="31"/>
      <c r="B36" s="19" t="s">
        <v>135</v>
      </c>
      <c r="C36" s="149"/>
      <c r="D36" s="157"/>
      <c r="E36" s="157"/>
      <c r="F36" s="157"/>
      <c r="G36" s="157"/>
      <c r="H36" s="343"/>
      <c r="I36" s="291"/>
      <c r="J36" s="12">
        <f>107*0.04</f>
        <v>4.28</v>
      </c>
      <c r="K36" s="12"/>
      <c r="L36" s="12">
        <f>107*0.04</f>
        <v>4.28</v>
      </c>
      <c r="M36" s="12"/>
      <c r="N36" s="12">
        <f>107*0.04</f>
        <v>4.28</v>
      </c>
      <c r="O36" s="12"/>
      <c r="P36" s="12">
        <f>+N36</f>
        <v>4.28</v>
      </c>
      <c r="Q36" s="12">
        <f t="shared" ref="Q36:V36" si="12">107.5*0.08</f>
        <v>8.6</v>
      </c>
      <c r="R36" s="12">
        <f t="shared" si="12"/>
        <v>8.6</v>
      </c>
      <c r="S36" s="12">
        <f t="shared" si="12"/>
        <v>8.6</v>
      </c>
      <c r="T36" s="12">
        <f t="shared" si="12"/>
        <v>8.6</v>
      </c>
      <c r="U36" s="12">
        <f t="shared" si="12"/>
        <v>8.6</v>
      </c>
      <c r="V36" s="12">
        <f t="shared" si="12"/>
        <v>8.6</v>
      </c>
    </row>
    <row r="37" spans="1:22" s="2" customFormat="1" x14ac:dyDescent="0.2">
      <c r="A37" s="31"/>
      <c r="B37" s="19"/>
      <c r="C37" s="149"/>
      <c r="D37" s="157"/>
      <c r="E37" s="157"/>
      <c r="F37" s="157"/>
      <c r="G37" s="157"/>
      <c r="H37" s="343"/>
      <c r="I37" s="291"/>
      <c r="J37" s="12"/>
      <c r="K37" s="12"/>
      <c r="L37" s="12"/>
      <c r="M37" s="12"/>
      <c r="N37" s="12"/>
      <c r="O37" s="12"/>
      <c r="P37" s="12"/>
      <c r="Q37" s="12"/>
      <c r="R37" s="12"/>
      <c r="S37" s="12"/>
      <c r="T37" s="12"/>
      <c r="U37" s="12"/>
      <c r="V37" s="12"/>
    </row>
    <row r="38" spans="1:22" s="2" customFormat="1" x14ac:dyDescent="0.2">
      <c r="A38" s="31" t="s">
        <v>119</v>
      </c>
      <c r="B38" s="19" t="s">
        <v>115</v>
      </c>
      <c r="C38" s="149"/>
      <c r="D38" s="157"/>
      <c r="E38" s="157">
        <v>1.9</v>
      </c>
      <c r="F38" s="157">
        <f>7.4-E38</f>
        <v>5.5</v>
      </c>
      <c r="G38" s="157"/>
      <c r="H38" s="343">
        <v>17.899999999999999</v>
      </c>
      <c r="I38" s="291">
        <f>5.6+0.15</f>
        <v>5.75</v>
      </c>
      <c r="J38" s="12"/>
      <c r="K38" s="12"/>
      <c r="L38" s="12"/>
      <c r="M38" s="12"/>
      <c r="N38" s="12"/>
      <c r="O38" s="12"/>
      <c r="P38" s="12"/>
      <c r="Q38" s="12"/>
      <c r="R38" s="12"/>
      <c r="S38" s="12"/>
      <c r="T38" s="12"/>
      <c r="U38" s="12"/>
      <c r="V38" s="12"/>
    </row>
    <row r="39" spans="1:22" s="2" customFormat="1" x14ac:dyDescent="0.2">
      <c r="A39" s="31"/>
      <c r="B39" s="25"/>
      <c r="C39" s="149"/>
      <c r="D39" s="157"/>
      <c r="E39" s="157"/>
      <c r="F39" s="157"/>
      <c r="G39" s="157"/>
      <c r="H39" s="343"/>
      <c r="I39" s="291"/>
      <c r="J39" s="12"/>
      <c r="K39" s="12"/>
      <c r="L39" s="12"/>
      <c r="M39" s="12"/>
      <c r="N39" s="12"/>
      <c r="O39" s="12"/>
      <c r="P39" s="12"/>
      <c r="Q39" s="12"/>
      <c r="R39" s="12"/>
      <c r="S39" s="12"/>
      <c r="T39" s="12"/>
      <c r="U39" s="12"/>
      <c r="V39" s="12"/>
    </row>
    <row r="40" spans="1:22" s="2" customFormat="1" x14ac:dyDescent="0.2">
      <c r="A40" s="31"/>
      <c r="B40" s="25" t="s">
        <v>117</v>
      </c>
      <c r="C40" s="149"/>
      <c r="D40" s="157">
        <v>27.3</v>
      </c>
      <c r="E40" s="192">
        <v>29.8</v>
      </c>
      <c r="F40" s="157">
        <v>31.7</v>
      </c>
      <c r="G40" s="157">
        <v>5.6</v>
      </c>
      <c r="H40" s="343">
        <f>63.5-(E40+F40+G40)</f>
        <v>-3.5999999999999943</v>
      </c>
      <c r="I40" s="291">
        <v>16</v>
      </c>
      <c r="J40" s="12">
        <f t="shared" ref="J40:P40" si="13">+I40</f>
        <v>16</v>
      </c>
      <c r="K40" s="12">
        <f t="shared" si="13"/>
        <v>16</v>
      </c>
      <c r="L40" s="12">
        <f t="shared" si="13"/>
        <v>16</v>
      </c>
      <c r="M40" s="12">
        <v>20</v>
      </c>
      <c r="N40" s="12">
        <f t="shared" si="13"/>
        <v>20</v>
      </c>
      <c r="O40" s="12">
        <f t="shared" si="13"/>
        <v>20</v>
      </c>
      <c r="P40" s="12">
        <f t="shared" si="13"/>
        <v>20</v>
      </c>
      <c r="Q40" s="12">
        <f>+P40*4</f>
        <v>80</v>
      </c>
      <c r="R40" s="12">
        <f>+Q40</f>
        <v>80</v>
      </c>
      <c r="S40" s="12">
        <f>+R40</f>
        <v>80</v>
      </c>
      <c r="T40" s="12">
        <f>+S40</f>
        <v>80</v>
      </c>
      <c r="U40" s="12">
        <f>+T40</f>
        <v>80</v>
      </c>
      <c r="V40" s="12">
        <f>+U40</f>
        <v>80</v>
      </c>
    </row>
    <row r="41" spans="1:22" s="2" customFormat="1" x14ac:dyDescent="0.2">
      <c r="A41" s="31"/>
      <c r="C41" s="149"/>
      <c r="D41" s="157"/>
      <c r="E41" s="157"/>
      <c r="F41" s="157"/>
      <c r="G41" s="157"/>
      <c r="H41" s="343"/>
      <c r="I41" s="291"/>
      <c r="J41" s="12"/>
      <c r="K41" s="12"/>
      <c r="L41" s="12"/>
      <c r="M41" s="12"/>
      <c r="N41" s="12"/>
      <c r="O41" s="12"/>
      <c r="P41" s="12"/>
      <c r="Q41" s="12"/>
      <c r="R41" s="12"/>
      <c r="S41" s="12"/>
      <c r="T41" s="12"/>
      <c r="U41" s="12"/>
      <c r="V41" s="12"/>
    </row>
    <row r="42" spans="1:22" s="2" customFormat="1" x14ac:dyDescent="0.2">
      <c r="A42" s="31"/>
      <c r="B42" s="25" t="s">
        <v>71</v>
      </c>
      <c r="C42" s="149"/>
      <c r="D42" s="157">
        <v>14.7</v>
      </c>
      <c r="E42" s="157">
        <v>8.1999999999999993</v>
      </c>
      <c r="F42" s="157">
        <f>16.9-E42</f>
        <v>8.6999999999999993</v>
      </c>
      <c r="G42" s="157">
        <f>-SUM(E42:F42)+24.8</f>
        <v>7.9000000000000021</v>
      </c>
      <c r="H42" s="343">
        <v>15.4</v>
      </c>
      <c r="I42" s="291">
        <v>18.7</v>
      </c>
      <c r="J42" s="12">
        <v>13</v>
      </c>
      <c r="K42" s="12">
        <f t="shared" ref="K42:P42" si="14">+J42</f>
        <v>13</v>
      </c>
      <c r="L42" s="12">
        <f t="shared" si="14"/>
        <v>13</v>
      </c>
      <c r="M42" s="12">
        <f t="shared" si="14"/>
        <v>13</v>
      </c>
      <c r="N42" s="12">
        <f t="shared" si="14"/>
        <v>13</v>
      </c>
      <c r="O42" s="12">
        <f t="shared" si="14"/>
        <v>13</v>
      </c>
      <c r="P42" s="12">
        <f t="shared" si="14"/>
        <v>13</v>
      </c>
      <c r="Q42" s="12">
        <f>+P42*4</f>
        <v>52</v>
      </c>
      <c r="R42" s="12">
        <f>+Q42</f>
        <v>52</v>
      </c>
      <c r="S42" s="12">
        <f>+R42</f>
        <v>52</v>
      </c>
      <c r="T42" s="12">
        <f>+S42</f>
        <v>52</v>
      </c>
      <c r="U42" s="12">
        <f>+T42</f>
        <v>52</v>
      </c>
      <c r="V42" s="12">
        <f>+U42</f>
        <v>52</v>
      </c>
    </row>
    <row r="43" spans="1:22" s="2" customFormat="1" x14ac:dyDescent="0.2">
      <c r="A43" s="31" t="s">
        <v>119</v>
      </c>
      <c r="B43" s="25" t="s">
        <v>116</v>
      </c>
      <c r="C43" s="149"/>
      <c r="D43" s="157">
        <v>0</v>
      </c>
      <c r="E43" s="157">
        <v>13.036</v>
      </c>
      <c r="F43" s="157">
        <v>0</v>
      </c>
      <c r="G43" s="157">
        <v>3.6</v>
      </c>
      <c r="H43" s="343">
        <f>14.526-E43-F43-G43</f>
        <v>-2.11</v>
      </c>
      <c r="I43" s="291">
        <v>1.8</v>
      </c>
      <c r="J43" s="12">
        <v>0</v>
      </c>
      <c r="K43" s="12">
        <v>0</v>
      </c>
      <c r="L43" s="12">
        <v>0</v>
      </c>
      <c r="M43" s="27">
        <v>13</v>
      </c>
      <c r="N43" s="12">
        <v>0</v>
      </c>
      <c r="O43" s="12">
        <v>0</v>
      </c>
      <c r="P43" s="12">
        <v>0</v>
      </c>
      <c r="Q43" s="27">
        <v>13</v>
      </c>
      <c r="R43" s="27">
        <v>13</v>
      </c>
      <c r="S43" s="12">
        <v>0</v>
      </c>
      <c r="T43" s="12">
        <v>0</v>
      </c>
      <c r="U43" s="12">
        <v>0</v>
      </c>
      <c r="V43" s="12">
        <v>0</v>
      </c>
    </row>
    <row r="44" spans="1:22" s="2" customFormat="1" x14ac:dyDescent="0.2">
      <c r="A44" s="31" t="s">
        <v>119</v>
      </c>
      <c r="B44" s="25" t="s">
        <v>118</v>
      </c>
      <c r="C44" s="149"/>
      <c r="D44" s="157"/>
      <c r="E44" s="157">
        <f>42.736+(315.3-310.1)</f>
        <v>47.935999999999986</v>
      </c>
      <c r="F44" s="157">
        <f>30.4-E44-0.7</f>
        <v>-18.235999999999986</v>
      </c>
      <c r="G44" s="157">
        <f>-SUM(E44:F44)+43.577</f>
        <v>13.876999999999999</v>
      </c>
      <c r="H44" s="343">
        <f>14.529-E44-F44-G44</f>
        <v>-29.047999999999995</v>
      </c>
      <c r="I44" s="291">
        <v>-12.2</v>
      </c>
      <c r="J44" s="12"/>
      <c r="K44" s="12"/>
      <c r="L44" s="12"/>
      <c r="M44" s="12"/>
      <c r="N44" s="12"/>
      <c r="O44" s="12"/>
      <c r="P44" s="12"/>
      <c r="Q44" s="12"/>
      <c r="R44" s="12"/>
      <c r="S44" s="12"/>
      <c r="T44" s="12"/>
      <c r="U44" s="12"/>
      <c r="V44" s="12"/>
    </row>
    <row r="45" spans="1:22" s="2" customFormat="1" x14ac:dyDescent="0.2">
      <c r="A45" s="31"/>
      <c r="B45" s="25"/>
      <c r="C45" s="149"/>
      <c r="D45" s="157"/>
      <c r="E45" s="157"/>
      <c r="F45" s="157"/>
      <c r="G45" s="157"/>
      <c r="H45" s="343"/>
      <c r="I45" s="291"/>
      <c r="J45" s="12"/>
      <c r="K45" s="12"/>
      <c r="L45" s="12"/>
      <c r="M45" s="12"/>
      <c r="N45" s="12"/>
      <c r="O45" s="12"/>
      <c r="P45" s="12"/>
      <c r="Q45" s="12"/>
      <c r="R45" s="12"/>
      <c r="S45" s="12"/>
      <c r="T45" s="12"/>
      <c r="U45" s="12"/>
      <c r="V45" s="12"/>
    </row>
    <row r="46" spans="1:22" s="2" customFormat="1" x14ac:dyDescent="0.2">
      <c r="A46" s="31"/>
      <c r="B46" s="25" t="s">
        <v>132</v>
      </c>
      <c r="C46" s="149"/>
      <c r="D46" s="157"/>
      <c r="E46" s="157"/>
      <c r="F46" s="157"/>
      <c r="G46" s="157">
        <v>26.8</v>
      </c>
      <c r="H46" s="343">
        <v>-21.2</v>
      </c>
      <c r="I46" s="291">
        <v>6.2</v>
      </c>
      <c r="J46" s="12"/>
      <c r="K46" s="12"/>
      <c r="L46" s="12"/>
      <c r="M46" s="12"/>
      <c r="N46" s="12"/>
      <c r="O46" s="12"/>
      <c r="P46" s="12"/>
      <c r="Q46" s="12"/>
      <c r="R46" s="12"/>
      <c r="S46" s="12"/>
      <c r="T46" s="12"/>
      <c r="U46" s="12"/>
      <c r="V46" s="12"/>
    </row>
    <row r="47" spans="1:22" s="2" customFormat="1" x14ac:dyDescent="0.2">
      <c r="A47" s="31"/>
      <c r="B47" s="25" t="s">
        <v>131</v>
      </c>
      <c r="C47" s="149"/>
      <c r="D47" s="157"/>
      <c r="E47" s="157"/>
      <c r="F47" s="157"/>
      <c r="G47" s="157">
        <v>16.305</v>
      </c>
      <c r="H47" s="343">
        <f>63-G47</f>
        <v>46.695</v>
      </c>
      <c r="I47" s="291">
        <v>4.2</v>
      </c>
      <c r="J47" s="12"/>
      <c r="K47" s="12"/>
      <c r="L47" s="12"/>
      <c r="M47" s="12"/>
      <c r="N47" s="12"/>
      <c r="O47" s="12"/>
      <c r="P47" s="12"/>
      <c r="Q47" s="12"/>
      <c r="R47" s="12"/>
      <c r="S47" s="12"/>
      <c r="T47" s="12"/>
      <c r="U47" s="12"/>
      <c r="V47" s="12"/>
    </row>
    <row r="48" spans="1:22" s="2" customFormat="1" x14ac:dyDescent="0.2">
      <c r="A48" s="31"/>
      <c r="B48" s="25" t="s">
        <v>102</v>
      </c>
      <c r="C48" s="149"/>
      <c r="D48" s="157">
        <v>2.9</v>
      </c>
      <c r="E48" s="157">
        <v>0</v>
      </c>
      <c r="F48" s="157"/>
      <c r="G48" s="157"/>
      <c r="H48" s="343"/>
      <c r="I48" s="291"/>
      <c r="J48" s="12"/>
      <c r="K48" s="12"/>
      <c r="L48" s="12"/>
      <c r="M48" s="12"/>
      <c r="N48" s="12"/>
      <c r="O48" s="12"/>
      <c r="P48" s="12"/>
      <c r="Q48" s="12"/>
      <c r="R48" s="12"/>
      <c r="S48" s="12"/>
      <c r="T48" s="12"/>
      <c r="U48" s="12"/>
      <c r="V48" s="12"/>
    </row>
    <row r="49" spans="1:22" s="2" customFormat="1" x14ac:dyDescent="0.2">
      <c r="A49" s="31"/>
      <c r="B49" s="2" t="s">
        <v>103</v>
      </c>
      <c r="C49" s="149"/>
      <c r="D49" s="157">
        <v>0.5</v>
      </c>
      <c r="E49" s="157"/>
      <c r="F49" s="157"/>
      <c r="G49" s="157">
        <v>-1.6</v>
      </c>
      <c r="H49" s="343"/>
      <c r="I49" s="295">
        <v>3.2</v>
      </c>
      <c r="J49" s="12"/>
      <c r="K49" s="12"/>
      <c r="L49" s="12"/>
      <c r="M49" s="12"/>
      <c r="N49" s="12"/>
      <c r="O49" s="12"/>
      <c r="P49" s="12"/>
      <c r="Q49" s="12"/>
      <c r="R49" s="12"/>
      <c r="S49" s="12"/>
      <c r="T49" s="12"/>
      <c r="U49" s="12"/>
      <c r="V49" s="12"/>
    </row>
    <row r="50" spans="1:22" s="2" customFormat="1" x14ac:dyDescent="0.2">
      <c r="A50" s="31"/>
      <c r="B50" s="25" t="s">
        <v>19</v>
      </c>
      <c r="C50" s="150" t="s">
        <v>107</v>
      </c>
      <c r="D50" s="157">
        <v>10</v>
      </c>
      <c r="E50" s="157">
        <v>0</v>
      </c>
      <c r="F50" s="157">
        <v>0</v>
      </c>
      <c r="G50" s="157">
        <f t="shared" ref="G50:P50" si="15">+F50</f>
        <v>0</v>
      </c>
      <c r="H50" s="343">
        <f t="shared" si="15"/>
        <v>0</v>
      </c>
      <c r="I50" s="291">
        <f t="shared" si="15"/>
        <v>0</v>
      </c>
      <c r="J50" s="12">
        <f t="shared" si="15"/>
        <v>0</v>
      </c>
      <c r="K50" s="12">
        <f t="shared" si="15"/>
        <v>0</v>
      </c>
      <c r="L50" s="12">
        <f t="shared" si="15"/>
        <v>0</v>
      </c>
      <c r="M50" s="12">
        <f t="shared" si="15"/>
        <v>0</v>
      </c>
      <c r="N50" s="12">
        <f t="shared" si="15"/>
        <v>0</v>
      </c>
      <c r="O50" s="12">
        <f t="shared" si="15"/>
        <v>0</v>
      </c>
      <c r="P50" s="12">
        <f t="shared" si="15"/>
        <v>0</v>
      </c>
      <c r="Q50" s="12">
        <f>+P50*4</f>
        <v>0</v>
      </c>
      <c r="R50" s="12">
        <f>+Q50</f>
        <v>0</v>
      </c>
      <c r="S50" s="12">
        <f>+R50</f>
        <v>0</v>
      </c>
      <c r="T50" s="12">
        <f>+S50</f>
        <v>0</v>
      </c>
      <c r="U50" s="12">
        <f>+T50</f>
        <v>0</v>
      </c>
      <c r="V50" s="12">
        <f>+U50</f>
        <v>0</v>
      </c>
    </row>
    <row r="51" spans="1:22" s="2" customFormat="1" x14ac:dyDescent="0.2">
      <c r="A51" s="31"/>
      <c r="C51" s="150"/>
      <c r="D51" s="13"/>
      <c r="E51" s="13"/>
      <c r="F51" s="13"/>
      <c r="G51" s="13"/>
      <c r="H51" s="347"/>
      <c r="I51" s="296"/>
      <c r="J51" s="13"/>
      <c r="K51" s="13"/>
      <c r="L51" s="13"/>
      <c r="M51" s="13"/>
      <c r="N51" s="13"/>
      <c r="O51" s="13"/>
      <c r="P51" s="13"/>
      <c r="Q51" s="13"/>
      <c r="R51" s="13"/>
      <c r="S51" s="13"/>
      <c r="T51" s="13"/>
      <c r="U51" s="13"/>
      <c r="V51" s="13"/>
    </row>
    <row r="52" spans="1:22" s="26" customFormat="1" x14ac:dyDescent="0.2">
      <c r="A52" s="32" t="s">
        <v>40</v>
      </c>
      <c r="B52" s="25" t="s">
        <v>21</v>
      </c>
      <c r="C52" s="151"/>
      <c r="D52" s="38">
        <f>SUM(D28:D51)</f>
        <v>90.959500000000006</v>
      </c>
      <c r="E52" s="38">
        <f>SUM(E28:E51)</f>
        <v>133.80549999999999</v>
      </c>
      <c r="F52" s="38">
        <f t="shared" ref="F52:R52" si="16">SUM(F28:F51)</f>
        <v>54.710000000000008</v>
      </c>
      <c r="G52" s="38">
        <f t="shared" si="16"/>
        <v>107.41050000000001</v>
      </c>
      <c r="H52" s="346">
        <f t="shared" si="16"/>
        <v>53.208000000000013</v>
      </c>
      <c r="I52" s="295">
        <f t="shared" si="16"/>
        <v>57.650000000000006</v>
      </c>
      <c r="J52" s="27">
        <f t="shared" si="16"/>
        <v>51.773062500000002</v>
      </c>
      <c r="K52" s="27">
        <f t="shared" si="16"/>
        <v>46.889499999999998</v>
      </c>
      <c r="L52" s="27">
        <f t="shared" si="16"/>
        <v>51.169499999999999</v>
      </c>
      <c r="M52" s="27">
        <f t="shared" si="16"/>
        <v>61.42781966748047</v>
      </c>
      <c r="N52" s="27">
        <f t="shared" si="16"/>
        <v>52.707819667480464</v>
      </c>
      <c r="O52" s="27">
        <f t="shared" si="16"/>
        <v>46.399384071190326</v>
      </c>
      <c r="P52" s="27">
        <f t="shared" si="16"/>
        <v>50.679384071190327</v>
      </c>
      <c r="Q52" s="27">
        <f t="shared" si="16"/>
        <v>198.74762267074775</v>
      </c>
      <c r="R52" s="27">
        <f t="shared" si="16"/>
        <v>182.36731991931077</v>
      </c>
      <c r="S52" s="27">
        <f>SUM(S28:S51)</f>
        <v>153.26935871889066</v>
      </c>
      <c r="T52" s="27">
        <f>SUM(T28:T51)</f>
        <v>139.91703499296995</v>
      </c>
      <c r="U52" s="27">
        <f>SUM(U28:U51)</f>
        <v>140.6</v>
      </c>
      <c r="V52" s="27">
        <f>SUM(V28:V51)</f>
        <v>140.6</v>
      </c>
    </row>
    <row r="53" spans="1:22" s="26" customFormat="1" x14ac:dyDescent="0.2">
      <c r="A53" s="32"/>
      <c r="B53" s="25"/>
      <c r="C53" s="151"/>
      <c r="D53" s="38"/>
      <c r="E53" s="38"/>
      <c r="F53" s="38"/>
      <c r="G53" s="38"/>
      <c r="H53" s="346"/>
      <c r="I53" s="295"/>
      <c r="J53" s="27"/>
      <c r="K53" s="27"/>
      <c r="L53" s="27"/>
      <c r="M53" s="27"/>
      <c r="N53" s="27"/>
      <c r="O53" s="27"/>
      <c r="P53" s="27"/>
      <c r="Q53" s="27"/>
      <c r="R53" s="27"/>
      <c r="S53" s="27"/>
      <c r="T53" s="27"/>
      <c r="U53" s="27"/>
      <c r="V53" s="27"/>
    </row>
    <row r="54" spans="1:22" s="26" customFormat="1" x14ac:dyDescent="0.2">
      <c r="A54" s="32"/>
      <c r="B54" s="3" t="s">
        <v>35</v>
      </c>
      <c r="C54" s="145"/>
      <c r="D54" s="157">
        <v>52</v>
      </c>
      <c r="E54" s="38"/>
      <c r="F54" s="38"/>
      <c r="G54" s="38"/>
      <c r="H54" s="346">
        <v>-275</v>
      </c>
      <c r="I54" s="295"/>
      <c r="J54" s="27"/>
      <c r="K54" s="27"/>
      <c r="L54" s="27"/>
      <c r="M54" s="27"/>
      <c r="N54" s="27"/>
      <c r="O54" s="27"/>
      <c r="P54" s="27"/>
      <c r="Q54" s="27"/>
      <c r="R54" s="27"/>
      <c r="S54" s="27"/>
      <c r="T54" s="27"/>
      <c r="U54" s="27"/>
      <c r="V54" s="27"/>
    </row>
    <row r="55" spans="1:22" s="2" customFormat="1" x14ac:dyDescent="0.2">
      <c r="A55" s="31"/>
      <c r="B55" s="3" t="s">
        <v>54</v>
      </c>
      <c r="C55" s="145"/>
      <c r="D55" s="157">
        <v>72</v>
      </c>
      <c r="E55" s="157"/>
      <c r="F55" s="13"/>
      <c r="G55" s="157"/>
      <c r="H55" s="347"/>
      <c r="I55" s="296"/>
      <c r="J55" s="13"/>
      <c r="K55" s="13"/>
      <c r="L55" s="13"/>
      <c r="M55" s="13"/>
      <c r="N55" s="13"/>
      <c r="O55" s="13"/>
      <c r="P55" s="13"/>
      <c r="Q55" s="13"/>
      <c r="R55" s="13"/>
      <c r="S55" s="13"/>
      <c r="T55" s="13"/>
      <c r="U55" s="13"/>
      <c r="V55" s="13"/>
    </row>
    <row r="56" spans="1:22" s="26" customFormat="1" ht="13.5" thickBot="1" x14ac:dyDescent="0.25">
      <c r="A56" s="32" t="s">
        <v>41</v>
      </c>
      <c r="B56" s="25" t="s">
        <v>43</v>
      </c>
      <c r="C56" s="152" t="s">
        <v>44</v>
      </c>
      <c r="D56" s="33">
        <f>+D23-D52+D55+D54</f>
        <v>180.15050000000002</v>
      </c>
      <c r="E56" s="142">
        <f>+E23-E52</f>
        <v>12.194500000000005</v>
      </c>
      <c r="F56" s="142">
        <f>+F23-F52</f>
        <v>90.489999999999981</v>
      </c>
      <c r="G56" s="142">
        <f>+G23-G52</f>
        <v>30.389499999999998</v>
      </c>
      <c r="H56" s="336">
        <f>SUM(H52:H55)</f>
        <v>-221.79199999999997</v>
      </c>
      <c r="I56" s="351">
        <f t="shared" ref="I56:V56" si="17">+I23-I52</f>
        <v>57.849999999999994</v>
      </c>
      <c r="J56" s="246">
        <f t="shared" si="17"/>
        <v>70.290912500000019</v>
      </c>
      <c r="K56" s="246">
        <f t="shared" si="17"/>
        <v>71.643809374999989</v>
      </c>
      <c r="L56" s="246">
        <f t="shared" si="17"/>
        <v>64.788138609374997</v>
      </c>
      <c r="M56" s="252">
        <f t="shared" si="17"/>
        <v>52.166706582128889</v>
      </c>
      <c r="N56" s="252">
        <f t="shared" si="17"/>
        <v>58.727619079619132</v>
      </c>
      <c r="O56" s="252">
        <f t="shared" si="17"/>
        <v>63.072937518774239</v>
      </c>
      <c r="P56" s="252">
        <f t="shared" si="17"/>
        <v>57.018192589001472</v>
      </c>
      <c r="Q56" s="277">
        <f t="shared" si="17"/>
        <v>232.04268397001945</v>
      </c>
      <c r="R56" s="142">
        <f t="shared" si="17"/>
        <v>244.46592758083892</v>
      </c>
      <c r="S56" s="277">
        <f t="shared" si="17"/>
        <v>289.01448893442932</v>
      </c>
      <c r="T56" s="142">
        <f t="shared" si="17"/>
        <v>333.73583118861444</v>
      </c>
      <c r="U56" s="277">
        <f t="shared" si="17"/>
        <v>379.18213559226172</v>
      </c>
      <c r="V56" s="142">
        <f t="shared" si="17"/>
        <v>432.23079541454092</v>
      </c>
    </row>
    <row r="57" spans="1:22" s="26" customFormat="1" ht="13.5" thickTop="1" x14ac:dyDescent="0.2">
      <c r="A57" s="32"/>
      <c r="B57" s="25"/>
      <c r="C57" s="152"/>
      <c r="D57" s="38"/>
      <c r="E57" s="38"/>
      <c r="F57" s="38"/>
      <c r="G57" s="38"/>
      <c r="H57" s="346"/>
      <c r="I57" s="295"/>
      <c r="J57" s="38"/>
      <c r="K57" s="38"/>
      <c r="L57" s="38"/>
      <c r="M57" s="38"/>
      <c r="N57" s="38"/>
      <c r="O57" s="38"/>
      <c r="P57" s="38"/>
      <c r="Q57" s="38"/>
      <c r="R57" s="38"/>
      <c r="S57" s="38"/>
      <c r="T57" s="38"/>
      <c r="U57" s="38"/>
      <c r="V57" s="38"/>
    </row>
    <row r="58" spans="1:22" s="26" customFormat="1" x14ac:dyDescent="0.2">
      <c r="A58" s="32"/>
      <c r="B58" s="25" t="s">
        <v>136</v>
      </c>
      <c r="C58" s="152"/>
      <c r="D58" s="38"/>
      <c r="E58" s="38"/>
      <c r="F58" s="38"/>
      <c r="G58" s="38"/>
      <c r="H58" s="346">
        <f>-974.2-25</f>
        <v>-999.2</v>
      </c>
      <c r="I58" s="295"/>
      <c r="J58" s="38"/>
      <c r="K58" s="38"/>
      <c r="L58" s="38"/>
      <c r="M58" s="38"/>
      <c r="N58" s="38"/>
      <c r="O58" s="38"/>
      <c r="P58" s="38"/>
      <c r="Q58" s="38"/>
      <c r="R58" s="38"/>
      <c r="S58" s="38"/>
      <c r="T58" s="38"/>
      <c r="U58" s="38"/>
      <c r="V58" s="38"/>
    </row>
    <row r="59" spans="1:22" s="26" customFormat="1" x14ac:dyDescent="0.2">
      <c r="A59" s="32"/>
      <c r="B59" s="25"/>
      <c r="C59" s="152"/>
      <c r="D59" s="38"/>
      <c r="E59" s="38"/>
      <c r="F59" s="38"/>
      <c r="G59" s="38"/>
      <c r="H59" s="346"/>
      <c r="I59" s="295"/>
      <c r="J59" s="38"/>
      <c r="K59" s="38"/>
      <c r="L59" s="38"/>
      <c r="M59" s="38"/>
      <c r="N59" s="38"/>
      <c r="O59" s="38"/>
      <c r="P59" s="38"/>
      <c r="Q59" s="38"/>
      <c r="R59" s="38"/>
      <c r="S59" s="38"/>
      <c r="T59" s="38"/>
      <c r="U59" s="38"/>
      <c r="V59" s="38"/>
    </row>
    <row r="60" spans="1:22" s="26" customFormat="1" x14ac:dyDescent="0.2">
      <c r="A60" s="32"/>
      <c r="B60" s="25"/>
      <c r="C60" s="152"/>
      <c r="D60" s="38"/>
      <c r="E60" s="38"/>
      <c r="F60" s="38"/>
      <c r="G60" s="38"/>
      <c r="H60" s="346"/>
      <c r="I60" s="295"/>
      <c r="J60" s="38"/>
      <c r="K60" s="38"/>
      <c r="L60" s="38"/>
      <c r="M60" s="38"/>
      <c r="N60" s="38"/>
      <c r="O60" s="38"/>
      <c r="P60" s="38"/>
      <c r="Q60" s="38"/>
      <c r="R60" s="38"/>
      <c r="S60" s="38"/>
      <c r="T60" s="38"/>
      <c r="U60" s="38"/>
      <c r="V60" s="38"/>
    </row>
    <row r="61" spans="1:22" s="2" customFormat="1" x14ac:dyDescent="0.2">
      <c r="A61" s="31"/>
      <c r="B61" s="3"/>
      <c r="C61" s="145"/>
      <c r="D61" s="157"/>
      <c r="E61" s="157"/>
      <c r="F61" s="157"/>
      <c r="G61" s="157"/>
      <c r="H61" s="343"/>
      <c r="I61" s="291"/>
      <c r="J61" s="12"/>
      <c r="K61" s="12"/>
      <c r="L61" s="12"/>
      <c r="M61" s="12"/>
      <c r="N61" s="12"/>
      <c r="O61" s="12"/>
      <c r="P61" s="12"/>
      <c r="Q61" s="12"/>
      <c r="R61" s="12"/>
      <c r="S61" s="12"/>
      <c r="T61" s="12"/>
      <c r="U61" s="12"/>
      <c r="V61" s="12"/>
    </row>
    <row r="62" spans="1:22" x14ac:dyDescent="0.2">
      <c r="B62" s="54" t="s">
        <v>22</v>
      </c>
      <c r="C62" s="4"/>
      <c r="D62" s="158"/>
      <c r="E62" s="193"/>
      <c r="F62" s="193"/>
      <c r="G62" s="193"/>
      <c r="H62" s="348"/>
      <c r="I62" s="297"/>
      <c r="J62" s="14"/>
      <c r="K62" s="14"/>
      <c r="L62" s="14"/>
      <c r="M62" s="14"/>
      <c r="N62" s="14"/>
      <c r="O62" s="14"/>
      <c r="P62" s="14"/>
      <c r="Q62" s="14"/>
      <c r="R62" s="14"/>
      <c r="S62" s="14"/>
      <c r="T62" s="14"/>
      <c r="U62" s="14"/>
      <c r="V62" s="14"/>
    </row>
    <row r="63" spans="1:22" x14ac:dyDescent="0.2">
      <c r="A63" s="17" t="s">
        <v>42</v>
      </c>
      <c r="B63" s="1" t="s">
        <v>87</v>
      </c>
      <c r="C63" s="153">
        <v>250</v>
      </c>
      <c r="D63" s="158">
        <v>45</v>
      </c>
      <c r="E63" s="193">
        <v>25</v>
      </c>
      <c r="F63" s="193">
        <v>25</v>
      </c>
      <c r="G63" s="193">
        <v>25</v>
      </c>
      <c r="H63" s="348">
        <v>130</v>
      </c>
      <c r="I63" s="291"/>
      <c r="J63" s="14"/>
      <c r="K63" s="14"/>
      <c r="L63" s="14"/>
      <c r="M63" s="14"/>
      <c r="N63" s="14"/>
      <c r="O63" s="14"/>
      <c r="P63" s="14"/>
      <c r="Q63" s="14"/>
      <c r="R63" s="14"/>
      <c r="S63" s="14"/>
      <c r="T63" s="14"/>
      <c r="U63" s="14"/>
      <c r="V63" s="14"/>
    </row>
    <row r="64" spans="1:22" x14ac:dyDescent="0.2">
      <c r="A64" s="17" t="s">
        <v>42</v>
      </c>
      <c r="B64" s="1" t="s">
        <v>88</v>
      </c>
      <c r="C64" s="153">
        <v>16</v>
      </c>
      <c r="D64" s="158">
        <v>16</v>
      </c>
      <c r="E64" s="194">
        <v>-239</v>
      </c>
      <c r="F64" s="193"/>
      <c r="G64" s="193"/>
      <c r="H64" s="348">
        <v>239</v>
      </c>
      <c r="I64" s="291"/>
      <c r="J64" s="14"/>
      <c r="K64" s="14"/>
      <c r="L64" s="14"/>
      <c r="M64" s="14"/>
      <c r="N64" s="14"/>
      <c r="O64" s="14"/>
      <c r="P64" s="14"/>
      <c r="Q64" s="14"/>
      <c r="R64" s="14"/>
      <c r="S64" s="14"/>
      <c r="T64" s="14"/>
      <c r="U64" s="14"/>
      <c r="V64" s="14"/>
    </row>
    <row r="65" spans="1:22" x14ac:dyDescent="0.2">
      <c r="A65" s="17" t="s">
        <v>42</v>
      </c>
      <c r="B65" s="1" t="s">
        <v>25</v>
      </c>
      <c r="C65" s="153">
        <v>35</v>
      </c>
      <c r="D65" s="158">
        <v>35</v>
      </c>
      <c r="E65" s="193"/>
      <c r="F65" s="193"/>
      <c r="G65" s="193"/>
      <c r="H65" s="348"/>
      <c r="I65" s="297"/>
      <c r="J65" s="14"/>
      <c r="K65" s="14"/>
      <c r="L65" s="14"/>
      <c r="M65" s="14"/>
      <c r="N65" s="14"/>
      <c r="O65" s="14"/>
      <c r="P65" s="14"/>
      <c r="Q65" s="14"/>
      <c r="R65" s="14"/>
      <c r="S65" s="14"/>
      <c r="T65" s="14"/>
      <c r="U65" s="14"/>
      <c r="V65" s="14"/>
    </row>
    <row r="66" spans="1:22" x14ac:dyDescent="0.2">
      <c r="A66" s="17"/>
      <c r="B66" s="1" t="s">
        <v>114</v>
      </c>
      <c r="C66" s="153"/>
      <c r="D66" s="158"/>
      <c r="E66" s="193">
        <v>0.3</v>
      </c>
      <c r="F66" s="193"/>
      <c r="G66" s="193"/>
      <c r="H66" s="348"/>
      <c r="I66" s="297"/>
      <c r="J66" s="14"/>
      <c r="K66" s="14"/>
      <c r="L66" s="14"/>
      <c r="M66" s="14"/>
      <c r="N66" s="14"/>
      <c r="O66" s="14"/>
      <c r="P66" s="14"/>
      <c r="Q66" s="14"/>
      <c r="R66" s="14"/>
      <c r="S66" s="14"/>
      <c r="T66" s="14"/>
      <c r="U66" s="14"/>
      <c r="V66" s="14"/>
    </row>
    <row r="67" spans="1:22" ht="13.5" thickBot="1" x14ac:dyDescent="0.25">
      <c r="A67" s="17" t="s">
        <v>42</v>
      </c>
      <c r="B67" s="249" t="s">
        <v>34</v>
      </c>
      <c r="C67" s="154"/>
      <c r="D67" s="158"/>
      <c r="E67" s="193"/>
      <c r="F67" s="193"/>
      <c r="G67" s="193"/>
      <c r="H67" s="348">
        <v>184</v>
      </c>
      <c r="I67" s="297"/>
      <c r="J67" s="14"/>
      <c r="K67" s="14"/>
      <c r="L67" s="14"/>
      <c r="M67" s="14"/>
      <c r="N67" s="14"/>
      <c r="O67" s="14"/>
      <c r="P67" s="14"/>
      <c r="Q67" s="14"/>
      <c r="R67" s="14"/>
      <c r="S67" s="14"/>
      <c r="T67" s="14"/>
      <c r="U67" s="14"/>
      <c r="V67" s="14"/>
    </row>
    <row r="68" spans="1:22" ht="16.5" thickBot="1" x14ac:dyDescent="0.3">
      <c r="A68" s="17"/>
      <c r="B68" s="260" t="s">
        <v>137</v>
      </c>
      <c r="C68" s="154"/>
      <c r="D68" s="158"/>
      <c r="E68" s="193"/>
      <c r="F68" s="193"/>
      <c r="G68" s="193"/>
      <c r="H68" s="261">
        <v>-107.5</v>
      </c>
      <c r="I68" s="297"/>
      <c r="J68" s="14"/>
      <c r="K68" s="14"/>
      <c r="L68" s="14"/>
      <c r="M68" s="14"/>
      <c r="N68" s="14"/>
      <c r="O68" s="14"/>
      <c r="P68" s="14"/>
      <c r="Q68" s="14"/>
      <c r="R68" s="14"/>
      <c r="S68" s="14"/>
      <c r="T68" s="14"/>
      <c r="U68" s="14"/>
      <c r="V68" s="14"/>
    </row>
    <row r="69" spans="1:22" s="267" customFormat="1" ht="16.5" thickBot="1" x14ac:dyDescent="0.3">
      <c r="A69" s="228"/>
      <c r="B69" s="260" t="s">
        <v>138</v>
      </c>
      <c r="C69" s="262"/>
      <c r="D69" s="263"/>
      <c r="E69" s="264"/>
      <c r="F69" s="264"/>
      <c r="G69" s="264"/>
      <c r="H69" s="261">
        <v>-800</v>
      </c>
      <c r="I69" s="354"/>
      <c r="J69" s="266">
        <v>26.1</v>
      </c>
      <c r="K69" s="266"/>
      <c r="L69" s="266">
        <f>(+J56+K56)*0.75</f>
        <v>106.45104140625</v>
      </c>
      <c r="M69" s="266"/>
      <c r="N69" s="266">
        <f>(+L56+M56)*0.75</f>
        <v>87.716133893627926</v>
      </c>
      <c r="O69" s="266"/>
      <c r="P69" s="266">
        <f>(+N56+O56)*0.75</f>
        <v>91.350417448795028</v>
      </c>
      <c r="Q69" s="266">
        <f>(SUM(O56:P56)+(+Q56*0.5))*0.75</f>
        <v>177.08435406958907</v>
      </c>
      <c r="R69" s="266">
        <f>SUM(Q56)*0.75</f>
        <v>174.0320129775146</v>
      </c>
      <c r="S69" s="266">
        <f>SUM(R56)*0.75-39</f>
        <v>144.34944568562918</v>
      </c>
      <c r="T69" s="266">
        <v>0</v>
      </c>
      <c r="U69" s="266">
        <v>0</v>
      </c>
      <c r="V69" s="266">
        <v>0</v>
      </c>
    </row>
    <row r="70" spans="1:22" s="267" customFormat="1" ht="15.75" x14ac:dyDescent="0.25">
      <c r="A70" s="228"/>
      <c r="B70" s="260"/>
      <c r="C70" s="262"/>
      <c r="D70" s="263"/>
      <c r="E70" s="264"/>
      <c r="F70" s="264"/>
      <c r="G70" s="264"/>
      <c r="H70" s="360"/>
      <c r="I70" s="354"/>
      <c r="J70" s="266"/>
      <c r="K70" s="266"/>
      <c r="L70" s="266"/>
      <c r="M70" s="266"/>
      <c r="N70" s="266"/>
      <c r="O70" s="266"/>
      <c r="P70" s="266"/>
      <c r="Q70" s="266"/>
      <c r="R70" s="266"/>
      <c r="S70" s="266"/>
      <c r="T70" s="266"/>
      <c r="U70" s="266"/>
      <c r="V70" s="266"/>
    </row>
    <row r="71" spans="1:22" x14ac:dyDescent="0.2">
      <c r="A71" s="17" t="s">
        <v>42</v>
      </c>
      <c r="B71" s="19" t="s">
        <v>14</v>
      </c>
      <c r="C71" s="154">
        <v>1406</v>
      </c>
      <c r="D71" s="158"/>
      <c r="E71" s="193"/>
      <c r="F71" s="193"/>
      <c r="G71" s="193"/>
      <c r="H71" s="348">
        <v>1406</v>
      </c>
      <c r="I71" s="297"/>
      <c r="J71" s="14"/>
      <c r="K71" s="14"/>
      <c r="L71" s="14"/>
      <c r="M71" s="14"/>
      <c r="N71" s="14"/>
      <c r="O71" s="14"/>
      <c r="P71" s="14"/>
      <c r="Q71" s="14"/>
      <c r="R71" s="14"/>
      <c r="S71" s="14"/>
      <c r="T71" s="14"/>
      <c r="U71" s="14"/>
      <c r="V71" s="14"/>
    </row>
    <row r="72" spans="1:22" x14ac:dyDescent="0.2">
      <c r="A72" s="17"/>
      <c r="B72" s="7"/>
      <c r="C72" s="154"/>
      <c r="D72" s="158"/>
      <c r="E72" s="193"/>
      <c r="F72" s="193"/>
      <c r="G72" s="193"/>
      <c r="H72" s="348"/>
      <c r="I72" s="297"/>
      <c r="J72" s="14"/>
      <c r="K72" s="14"/>
      <c r="L72" s="14"/>
      <c r="M72" s="14"/>
      <c r="N72" s="14"/>
      <c r="O72" s="14"/>
      <c r="P72" s="14"/>
      <c r="Q72" s="14"/>
      <c r="R72" s="14"/>
      <c r="S72" s="14"/>
      <c r="T72" s="14"/>
      <c r="U72" s="14"/>
      <c r="V72" s="14"/>
    </row>
    <row r="73" spans="1:22" x14ac:dyDescent="0.2">
      <c r="B73" s="19" t="s">
        <v>69</v>
      </c>
      <c r="C73" s="35">
        <v>1707</v>
      </c>
      <c r="D73" s="158"/>
      <c r="E73" s="193"/>
      <c r="F73" s="193"/>
      <c r="G73" s="193"/>
      <c r="H73" s="348"/>
      <c r="I73" s="297"/>
      <c r="J73" s="14"/>
      <c r="K73" s="14"/>
      <c r="L73" s="14"/>
      <c r="M73" s="14"/>
      <c r="N73" s="14"/>
      <c r="O73" s="14"/>
      <c r="P73" s="14"/>
      <c r="Q73" s="14"/>
      <c r="R73" s="14"/>
      <c r="S73" s="14"/>
      <c r="T73" s="14"/>
      <c r="U73" s="14"/>
      <c r="V73" s="14"/>
    </row>
    <row r="74" spans="1:22" s="16" customFormat="1" ht="13.5" thickBot="1" x14ac:dyDescent="0.25">
      <c r="A74" s="17" t="s">
        <v>45</v>
      </c>
      <c r="B74" s="16" t="s">
        <v>53</v>
      </c>
      <c r="C74" s="155" t="s">
        <v>51</v>
      </c>
      <c r="D74" s="118">
        <f>-SUM(D61:D73)+D56</f>
        <v>84.150500000000022</v>
      </c>
      <c r="E74" s="244">
        <f>-SUM(E61:E73)+E56</f>
        <v>225.89449999999999</v>
      </c>
      <c r="F74" s="244">
        <f>-SUM(F61:F73)+F56</f>
        <v>65.489999999999981</v>
      </c>
      <c r="G74" s="244">
        <f>-SUM(G61:G73)+G56</f>
        <v>5.3894999999999982</v>
      </c>
      <c r="H74" s="337">
        <f>-SUM(H58:H73)+H56</f>
        <v>-274.09199999999993</v>
      </c>
      <c r="I74" s="352">
        <f t="shared" ref="I74:V74" si="18">-SUM(I61:I73)+I56</f>
        <v>57.849999999999994</v>
      </c>
      <c r="J74" s="248">
        <f t="shared" si="18"/>
        <v>44.190912500000017</v>
      </c>
      <c r="K74" s="248">
        <f t="shared" si="18"/>
        <v>71.643809374999989</v>
      </c>
      <c r="L74" s="248">
        <f t="shared" si="18"/>
        <v>-41.662902796875002</v>
      </c>
      <c r="M74" s="253">
        <f t="shared" si="18"/>
        <v>52.166706582128889</v>
      </c>
      <c r="N74" s="253">
        <f t="shared" si="18"/>
        <v>-28.988514814008795</v>
      </c>
      <c r="O74" s="253">
        <f t="shared" si="18"/>
        <v>63.072937518774239</v>
      </c>
      <c r="P74" s="253">
        <f t="shared" si="18"/>
        <v>-34.332224859793556</v>
      </c>
      <c r="Q74" s="278">
        <f t="shared" si="18"/>
        <v>54.958329900430385</v>
      </c>
      <c r="R74" s="244">
        <f t="shared" si="18"/>
        <v>70.433914603324325</v>
      </c>
      <c r="S74" s="278">
        <f t="shared" si="18"/>
        <v>144.66504324880015</v>
      </c>
      <c r="T74" s="244">
        <f t="shared" si="18"/>
        <v>333.73583118861444</v>
      </c>
      <c r="U74" s="278">
        <f t="shared" si="18"/>
        <v>379.18213559226172</v>
      </c>
      <c r="V74" s="244">
        <f t="shared" si="18"/>
        <v>432.23079541454092</v>
      </c>
    </row>
    <row r="75" spans="1:22" ht="14.25" thickTop="1" thickBot="1" x14ac:dyDescent="0.25">
      <c r="C75" s="4"/>
      <c r="D75" s="158"/>
      <c r="E75" s="193"/>
      <c r="F75" s="193"/>
      <c r="G75" s="193"/>
      <c r="H75" s="348"/>
      <c r="I75" s="297"/>
      <c r="J75" s="14"/>
      <c r="K75" s="14"/>
      <c r="L75" s="14"/>
      <c r="M75" s="14"/>
      <c r="N75" s="14"/>
      <c r="O75" s="14"/>
      <c r="P75" s="14"/>
      <c r="Q75" s="14"/>
      <c r="R75" s="14"/>
      <c r="S75" s="14"/>
      <c r="T75" s="14"/>
      <c r="U75" s="14"/>
      <c r="V75" s="14"/>
    </row>
    <row r="76" spans="1:22" s="176" customFormat="1" ht="13.5" thickBot="1" x14ac:dyDescent="0.25">
      <c r="A76" s="32" t="s">
        <v>52</v>
      </c>
      <c r="B76" s="176" t="s">
        <v>168</v>
      </c>
      <c r="C76" s="216"/>
      <c r="D76" s="215">
        <f>+D74</f>
        <v>84.150500000000022</v>
      </c>
      <c r="E76" s="215">
        <f>+D76+E74</f>
        <v>310.04500000000002</v>
      </c>
      <c r="F76" s="215">
        <f t="shared" ref="F76:R76" si="19">+E76+F74</f>
        <v>375.53499999999997</v>
      </c>
      <c r="G76" s="215">
        <f t="shared" si="19"/>
        <v>380.92449999999997</v>
      </c>
      <c r="H76" s="338">
        <f t="shared" si="19"/>
        <v>106.83250000000004</v>
      </c>
      <c r="I76" s="298">
        <f t="shared" si="19"/>
        <v>164.68250000000003</v>
      </c>
      <c r="J76" s="217">
        <f t="shared" si="19"/>
        <v>208.87341250000006</v>
      </c>
      <c r="K76" s="217">
        <f t="shared" si="19"/>
        <v>280.51722187500002</v>
      </c>
      <c r="L76" s="215">
        <f t="shared" si="19"/>
        <v>238.854319078125</v>
      </c>
      <c r="M76" s="215">
        <f t="shared" si="19"/>
        <v>291.02102566025388</v>
      </c>
      <c r="N76" s="215">
        <f t="shared" si="19"/>
        <v>262.03251084624509</v>
      </c>
      <c r="O76" s="215">
        <f t="shared" si="19"/>
        <v>325.10544836501936</v>
      </c>
      <c r="P76" s="215">
        <f t="shared" si="19"/>
        <v>290.77322350522581</v>
      </c>
      <c r="Q76" s="215">
        <f t="shared" si="19"/>
        <v>345.7315534056562</v>
      </c>
      <c r="R76" s="247">
        <f t="shared" si="19"/>
        <v>416.1654680089805</v>
      </c>
      <c r="S76" s="215">
        <f>+R76+S74</f>
        <v>560.8305112577807</v>
      </c>
      <c r="T76" s="215">
        <f>+S76+T74</f>
        <v>894.56634244639508</v>
      </c>
      <c r="U76" s="215">
        <f>+T76+U74</f>
        <v>1273.7484780386567</v>
      </c>
      <c r="V76" s="215">
        <f>+U76+V74</f>
        <v>1705.9792734531975</v>
      </c>
    </row>
    <row r="77" spans="1:22" s="176" customFormat="1" x14ac:dyDescent="0.2">
      <c r="A77" s="32"/>
      <c r="C77" s="216"/>
      <c r="D77" s="215"/>
      <c r="E77" s="215"/>
      <c r="F77" s="215"/>
      <c r="G77" s="215"/>
      <c r="H77" s="338"/>
      <c r="I77" s="298"/>
      <c r="J77" s="217"/>
      <c r="K77" s="217"/>
      <c r="L77" s="215"/>
      <c r="M77" s="217"/>
      <c r="N77" s="215"/>
      <c r="O77" s="217"/>
      <c r="P77" s="217"/>
      <c r="Q77" s="217"/>
      <c r="R77" s="215"/>
      <c r="S77" s="215"/>
      <c r="T77" s="215"/>
      <c r="U77" s="215"/>
      <c r="V77" s="215"/>
    </row>
    <row r="78" spans="1:22" s="220" customFormat="1" ht="15.75" x14ac:dyDescent="0.25">
      <c r="A78" s="221"/>
      <c r="B78" s="223" t="s">
        <v>128</v>
      </c>
      <c r="C78" s="224"/>
      <c r="D78" s="224">
        <f t="shared" ref="D78:V78" si="20">-SUM(D62:D72)</f>
        <v>-96</v>
      </c>
      <c r="E78" s="224">
        <f t="shared" si="20"/>
        <v>213.7</v>
      </c>
      <c r="F78" s="224">
        <f t="shared" si="20"/>
        <v>-25</v>
      </c>
      <c r="G78" s="224">
        <f t="shared" si="20"/>
        <v>-25</v>
      </c>
      <c r="H78" s="339">
        <f t="shared" si="20"/>
        <v>-1051.5</v>
      </c>
      <c r="I78" s="300">
        <f t="shared" si="20"/>
        <v>0</v>
      </c>
      <c r="J78" s="224">
        <f t="shared" si="20"/>
        <v>-26.1</v>
      </c>
      <c r="K78" s="224">
        <f t="shared" si="20"/>
        <v>0</v>
      </c>
      <c r="L78" s="224">
        <f t="shared" si="20"/>
        <v>-106.45104140625</v>
      </c>
      <c r="M78" s="224">
        <f t="shared" si="20"/>
        <v>0</v>
      </c>
      <c r="N78" s="224">
        <f t="shared" si="20"/>
        <v>-87.716133893627926</v>
      </c>
      <c r="O78" s="224">
        <f t="shared" si="20"/>
        <v>0</v>
      </c>
      <c r="P78" s="224">
        <f t="shared" si="20"/>
        <v>-91.350417448795028</v>
      </c>
      <c r="Q78" s="224">
        <f t="shared" si="20"/>
        <v>-177.08435406958907</v>
      </c>
      <c r="R78" s="224">
        <f t="shared" si="20"/>
        <v>-174.0320129775146</v>
      </c>
      <c r="S78" s="224">
        <f t="shared" si="20"/>
        <v>-144.34944568562918</v>
      </c>
      <c r="T78" s="224">
        <f t="shared" si="20"/>
        <v>0</v>
      </c>
      <c r="U78" s="224">
        <f t="shared" si="20"/>
        <v>0</v>
      </c>
      <c r="V78" s="225">
        <f t="shared" si="20"/>
        <v>0</v>
      </c>
    </row>
    <row r="79" spans="1:22" s="232" customFormat="1" ht="16.5" thickBot="1" x14ac:dyDescent="0.3">
      <c r="A79" s="228"/>
      <c r="B79" s="223" t="s">
        <v>127</v>
      </c>
      <c r="C79" s="224">
        <v>1891</v>
      </c>
      <c r="D79" s="224">
        <f>+C79+D78</f>
        <v>1795</v>
      </c>
      <c r="E79" s="224">
        <f t="shared" ref="E79:V79" si="21">+D79+E78</f>
        <v>2008.7</v>
      </c>
      <c r="F79" s="224">
        <f t="shared" si="21"/>
        <v>1983.7</v>
      </c>
      <c r="G79" s="224">
        <f t="shared" si="21"/>
        <v>1958.7</v>
      </c>
      <c r="H79" s="339">
        <f t="shared" si="21"/>
        <v>907.2</v>
      </c>
      <c r="I79" s="301">
        <f t="shared" si="21"/>
        <v>907.2</v>
      </c>
      <c r="J79" s="224">
        <f t="shared" si="21"/>
        <v>881.1</v>
      </c>
      <c r="K79" s="224">
        <f t="shared" si="21"/>
        <v>881.1</v>
      </c>
      <c r="L79" s="224">
        <f t="shared" si="21"/>
        <v>774.64895859374997</v>
      </c>
      <c r="M79" s="224">
        <f t="shared" si="21"/>
        <v>774.64895859374997</v>
      </c>
      <c r="N79" s="224">
        <f t="shared" si="21"/>
        <v>686.93282470012207</v>
      </c>
      <c r="O79" s="224">
        <f t="shared" si="21"/>
        <v>686.93282470012207</v>
      </c>
      <c r="P79" s="224">
        <f t="shared" si="21"/>
        <v>595.58240725132703</v>
      </c>
      <c r="Q79" s="224">
        <f t="shared" si="21"/>
        <v>418.49805318173799</v>
      </c>
      <c r="R79" s="224">
        <f t="shared" si="21"/>
        <v>244.46604020422339</v>
      </c>
      <c r="S79" s="224">
        <f t="shared" si="21"/>
        <v>100.11659451859421</v>
      </c>
      <c r="T79" s="224">
        <f t="shared" si="21"/>
        <v>100.11659451859421</v>
      </c>
      <c r="U79" s="224">
        <f t="shared" si="21"/>
        <v>100.11659451859421</v>
      </c>
      <c r="V79" s="225">
        <f t="shared" si="21"/>
        <v>100.11659451859421</v>
      </c>
    </row>
    <row r="80" spans="1:22" s="356" customFormat="1" ht="15.75" x14ac:dyDescent="0.25">
      <c r="B80" s="356" t="s">
        <v>163</v>
      </c>
      <c r="D80" s="355"/>
      <c r="H80" s="358">
        <v>1.4</v>
      </c>
      <c r="I80" s="359">
        <v>1.3</v>
      </c>
      <c r="L80" s="355"/>
      <c r="N80" s="355"/>
    </row>
    <row r="81" spans="1:22" ht="15.75" x14ac:dyDescent="0.25">
      <c r="B81" s="268" t="s">
        <v>50</v>
      </c>
      <c r="H81" s="4"/>
    </row>
    <row r="82" spans="1:22" ht="15.75" x14ac:dyDescent="0.25">
      <c r="B82" s="268"/>
    </row>
    <row r="83" spans="1:22" ht="15.75" x14ac:dyDescent="0.25">
      <c r="B83" s="268"/>
    </row>
    <row r="85" spans="1:22" s="281" customFormat="1" ht="15.75" x14ac:dyDescent="0.25">
      <c r="A85" s="280"/>
      <c r="B85" s="281" t="s">
        <v>146</v>
      </c>
      <c r="D85" s="232">
        <v>27.995000000000001</v>
      </c>
      <c r="E85" s="232">
        <f>+D85</f>
        <v>27.995000000000001</v>
      </c>
      <c r="F85" s="232">
        <f>+E85</f>
        <v>27.995000000000001</v>
      </c>
      <c r="G85" s="232">
        <f>+F85</f>
        <v>27.995000000000001</v>
      </c>
      <c r="H85" s="232">
        <v>27.995000000000001</v>
      </c>
      <c r="I85" s="232">
        <v>27.995000000000001</v>
      </c>
      <c r="J85" s="232"/>
      <c r="K85" s="232"/>
      <c r="L85" s="232"/>
      <c r="M85" s="232"/>
      <c r="N85" s="232"/>
      <c r="O85" s="232"/>
      <c r="P85" s="232"/>
      <c r="Q85" s="232"/>
      <c r="R85" s="232"/>
      <c r="S85" s="232"/>
      <c r="T85" s="232"/>
      <c r="U85" s="232"/>
      <c r="V85" s="232"/>
    </row>
    <row r="86" spans="1:22" s="281" customFormat="1" ht="15" x14ac:dyDescent="0.2">
      <c r="A86" s="280"/>
    </row>
    <row r="87" spans="1:22" s="281" customFormat="1" ht="15.75" thickBot="1" x14ac:dyDescent="0.25">
      <c r="A87" s="280"/>
      <c r="B87" s="281" t="s">
        <v>147</v>
      </c>
      <c r="E87" s="282">
        <v>-2869.3</v>
      </c>
      <c r="F87" s="282">
        <v>67.7</v>
      </c>
      <c r="G87" s="282">
        <v>24</v>
      </c>
      <c r="H87" s="282">
        <v>823.5</v>
      </c>
      <c r="I87" s="282">
        <v>53.5</v>
      </c>
      <c r="J87" s="282"/>
      <c r="K87" s="282"/>
      <c r="L87" s="282"/>
      <c r="M87" s="282"/>
      <c r="N87" s="282"/>
      <c r="O87" s="282"/>
      <c r="P87" s="282"/>
      <c r="Q87" s="282"/>
      <c r="R87" s="282"/>
      <c r="S87" s="282"/>
      <c r="T87" s="282"/>
      <c r="U87" s="282"/>
      <c r="V87" s="282"/>
    </row>
    <row r="88" spans="1:22" s="281" customFormat="1" ht="15" x14ac:dyDescent="0.2">
      <c r="A88" s="280"/>
      <c r="B88" s="317" t="s">
        <v>150</v>
      </c>
      <c r="C88" s="318"/>
      <c r="D88" s="318"/>
      <c r="E88" s="319"/>
      <c r="F88" s="319"/>
      <c r="G88" s="319"/>
      <c r="H88" s="319"/>
      <c r="I88" s="319"/>
      <c r="J88" s="319"/>
      <c r="K88" s="319"/>
      <c r="L88" s="319"/>
      <c r="M88" s="319"/>
      <c r="N88" s="319"/>
      <c r="O88" s="319"/>
      <c r="P88" s="319"/>
      <c r="Q88" s="319"/>
      <c r="R88" s="319"/>
      <c r="S88" s="319"/>
      <c r="T88" s="319"/>
      <c r="U88" s="319"/>
      <c r="V88" s="320"/>
    </row>
    <row r="89" spans="1:22" s="281" customFormat="1" ht="15" x14ac:dyDescent="0.2">
      <c r="A89" s="280"/>
      <c r="B89" s="321" t="s">
        <v>161</v>
      </c>
      <c r="C89" s="322"/>
      <c r="D89" s="322"/>
      <c r="E89" s="323">
        <f>146-30</f>
        <v>116</v>
      </c>
      <c r="F89" s="323">
        <f>145.2-24.2</f>
        <v>120.99999999999999</v>
      </c>
      <c r="G89" s="323">
        <f>137.775-26.6</f>
        <v>111.17500000000001</v>
      </c>
      <c r="H89" s="323">
        <f>141.56-23.4</f>
        <v>118.16</v>
      </c>
      <c r="I89" s="323">
        <v>101.8</v>
      </c>
      <c r="J89" s="323"/>
      <c r="K89" s="323"/>
      <c r="L89" s="324"/>
      <c r="M89" s="323"/>
      <c r="N89" s="323"/>
      <c r="O89" s="323"/>
      <c r="P89" s="323"/>
      <c r="Q89" s="323"/>
      <c r="R89" s="323"/>
      <c r="S89" s="323"/>
      <c r="T89" s="323"/>
      <c r="U89" s="323"/>
      <c r="V89" s="325"/>
    </row>
    <row r="90" spans="1:22" s="281" customFormat="1" ht="15" x14ac:dyDescent="0.2">
      <c r="A90" s="280"/>
      <c r="B90" s="321"/>
      <c r="C90" s="322"/>
      <c r="D90" s="322"/>
      <c r="E90" s="322"/>
      <c r="F90" s="322"/>
      <c r="G90" s="322"/>
      <c r="H90" s="322"/>
      <c r="I90" s="322"/>
      <c r="J90" s="322"/>
      <c r="K90" s="322"/>
      <c r="L90" s="322"/>
      <c r="M90" s="322"/>
      <c r="N90" s="322"/>
      <c r="O90" s="322"/>
      <c r="P90" s="322"/>
      <c r="Q90" s="322"/>
      <c r="R90" s="322"/>
      <c r="S90" s="322"/>
      <c r="T90" s="322"/>
      <c r="U90" s="322"/>
      <c r="V90" s="326"/>
    </row>
    <row r="91" spans="1:22" s="285" customFormat="1" ht="16.5" thickBot="1" x14ac:dyDescent="0.3">
      <c r="A91" s="284"/>
      <c r="B91" s="327" t="s">
        <v>148</v>
      </c>
      <c r="C91" s="328"/>
      <c r="D91" s="328"/>
      <c r="E91" s="328"/>
      <c r="F91" s="329">
        <f>+(F89*4)/F$85</f>
        <v>17.288801571709232</v>
      </c>
      <c r="G91" s="329">
        <f>+(G89*4)/G$85</f>
        <v>15.884979460617968</v>
      </c>
      <c r="H91" s="329">
        <f>+(H89*4)/H$85</f>
        <v>16.883014824075726</v>
      </c>
      <c r="I91" s="329">
        <f>+(I89*4)/I$85</f>
        <v>14.545454545454545</v>
      </c>
      <c r="J91" s="328"/>
      <c r="K91" s="328"/>
      <c r="L91" s="328"/>
      <c r="M91" s="328"/>
      <c r="N91" s="328"/>
      <c r="O91" s="328"/>
      <c r="P91" s="328"/>
      <c r="Q91" s="328"/>
      <c r="R91" s="328"/>
      <c r="S91" s="328"/>
      <c r="T91" s="328"/>
      <c r="U91" s="328"/>
      <c r="V91" s="330"/>
    </row>
    <row r="92" spans="1:22" s="281" customFormat="1" ht="15" x14ac:dyDescent="0.2">
      <c r="A92" s="280"/>
    </row>
    <row r="93" spans="1:22" s="285" customFormat="1" ht="15.75" x14ac:dyDescent="0.25">
      <c r="A93" s="284"/>
      <c r="B93" s="285" t="s">
        <v>149</v>
      </c>
      <c r="E93" s="286">
        <f>+E23/E$85*4</f>
        <v>20.860868012145026</v>
      </c>
      <c r="F93" s="286">
        <f>+F23/F$85*4</f>
        <v>20.746561886051079</v>
      </c>
      <c r="G93" s="286">
        <f>+G23/G$85*4</f>
        <v>19.689230219682088</v>
      </c>
      <c r="H93" s="286">
        <f>+H23/H$85*4</f>
        <v>20.225040185747456</v>
      </c>
      <c r="I93" s="286">
        <f>+I23/I$85*4</f>
        <v>16.50294695481336</v>
      </c>
    </row>
    <row r="94" spans="1:22" s="285" customFormat="1" ht="15.75" x14ac:dyDescent="0.25">
      <c r="A94" s="284"/>
      <c r="E94" s="286"/>
      <c r="F94" s="286"/>
      <c r="G94" s="286"/>
      <c r="H94" s="286"/>
      <c r="I94" s="286"/>
    </row>
    <row r="95" spans="1:22" s="285" customFormat="1" ht="15.75" x14ac:dyDescent="0.25">
      <c r="A95" s="284"/>
      <c r="B95" s="285" t="s">
        <v>166</v>
      </c>
      <c r="E95" s="286"/>
      <c r="F95" s="286"/>
      <c r="G95" s="286"/>
      <c r="H95" s="286"/>
      <c r="I95" s="286">
        <v>11.79</v>
      </c>
    </row>
    <row r="96" spans="1:22" s="285" customFormat="1" ht="15.75" x14ac:dyDescent="0.25">
      <c r="A96" s="284"/>
      <c r="B96" s="285" t="s">
        <v>167</v>
      </c>
      <c r="E96" s="286"/>
      <c r="F96" s="286"/>
      <c r="G96" s="286"/>
      <c r="H96" s="286"/>
      <c r="I96" s="357">
        <f>+I95/I91</f>
        <v>0.81056249999999996</v>
      </c>
    </row>
    <row r="98" spans="1:22" s="96" customFormat="1" ht="15.75" x14ac:dyDescent="0.25">
      <c r="A98" s="302"/>
      <c r="B98" s="303"/>
      <c r="C98" s="304"/>
      <c r="D98" s="304"/>
      <c r="E98" s="304"/>
      <c r="F98" s="304"/>
      <c r="G98" s="304"/>
      <c r="H98" s="304"/>
      <c r="I98" s="304"/>
      <c r="J98" s="304"/>
      <c r="K98" s="304"/>
      <c r="L98" s="304"/>
      <c r="M98" s="304"/>
      <c r="N98" s="304"/>
      <c r="O98" s="304"/>
      <c r="P98" s="304"/>
      <c r="Q98" s="304"/>
      <c r="R98" s="304"/>
      <c r="S98" s="304"/>
      <c r="T98" s="304"/>
      <c r="U98" s="304"/>
      <c r="V98" s="305"/>
    </row>
    <row r="99" spans="1:22" s="96" customFormat="1" ht="15.75" x14ac:dyDescent="0.25">
      <c r="A99" s="302"/>
      <c r="B99" s="306" t="s">
        <v>152</v>
      </c>
      <c r="C99" s="307"/>
      <c r="D99" s="307"/>
      <c r="E99" s="307"/>
      <c r="F99" s="307"/>
      <c r="G99" s="307"/>
      <c r="H99" s="308">
        <v>61.75</v>
      </c>
      <c r="I99" s="308">
        <v>86.6</v>
      </c>
      <c r="J99" s="307"/>
      <c r="K99" s="307"/>
      <c r="L99" s="307"/>
      <c r="M99" s="307"/>
      <c r="N99" s="307"/>
      <c r="O99" s="307"/>
      <c r="P99" s="307"/>
      <c r="Q99" s="307"/>
      <c r="R99" s="307"/>
      <c r="S99" s="307"/>
      <c r="T99" s="307"/>
      <c r="U99" s="307"/>
      <c r="V99" s="309"/>
    </row>
    <row r="100" spans="1:22" s="96" customFormat="1" ht="15.75" x14ac:dyDescent="0.25">
      <c r="A100" s="302"/>
      <c r="B100" s="306" t="s">
        <v>153</v>
      </c>
      <c r="C100" s="307"/>
      <c r="D100" s="307"/>
      <c r="E100" s="307"/>
      <c r="F100" s="307"/>
      <c r="G100" s="307"/>
      <c r="H100" s="308">
        <v>47.98</v>
      </c>
      <c r="I100" s="308">
        <v>67.7</v>
      </c>
      <c r="J100" s="307"/>
      <c r="K100" s="307"/>
      <c r="L100" s="307"/>
      <c r="M100" s="307"/>
      <c r="N100" s="307"/>
      <c r="O100" s="307"/>
      <c r="P100" s="307"/>
      <c r="Q100" s="307"/>
      <c r="R100" s="307"/>
      <c r="S100" s="307"/>
      <c r="T100" s="307"/>
      <c r="U100" s="307"/>
      <c r="V100" s="309"/>
    </row>
    <row r="101" spans="1:22" s="96" customFormat="1" ht="15.75" x14ac:dyDescent="0.25">
      <c r="A101" s="302"/>
      <c r="B101" s="306"/>
      <c r="C101" s="307"/>
      <c r="D101" s="307"/>
      <c r="E101" s="307"/>
      <c r="F101" s="307"/>
      <c r="G101" s="307"/>
      <c r="H101" s="307"/>
      <c r="I101" s="307"/>
      <c r="J101" s="307"/>
      <c r="K101" s="307"/>
      <c r="L101" s="307"/>
      <c r="M101" s="307"/>
      <c r="N101" s="307"/>
      <c r="O101" s="307"/>
      <c r="P101" s="307"/>
      <c r="Q101" s="307"/>
      <c r="R101" s="307"/>
      <c r="S101" s="307"/>
      <c r="T101" s="307"/>
      <c r="U101" s="307"/>
      <c r="V101" s="309"/>
    </row>
    <row r="102" spans="1:22" s="96" customFormat="1" ht="15.75" x14ac:dyDescent="0.25">
      <c r="A102" s="302"/>
      <c r="B102" s="306" t="s">
        <v>154</v>
      </c>
      <c r="C102" s="307"/>
      <c r="D102" s="307"/>
      <c r="E102" s="307"/>
      <c r="F102" s="307"/>
      <c r="G102" s="307"/>
      <c r="H102" s="310">
        <f>+H99/$H$85</f>
        <v>2.2057510269691014</v>
      </c>
      <c r="I102" s="310">
        <f>+I99/$H$85</f>
        <v>3.0934095374173958</v>
      </c>
      <c r="J102" s="307"/>
      <c r="K102" s="307"/>
      <c r="L102" s="307"/>
      <c r="M102" s="307"/>
      <c r="N102" s="307"/>
      <c r="O102" s="307"/>
      <c r="P102" s="307"/>
      <c r="Q102" s="307"/>
      <c r="R102" s="307"/>
      <c r="S102" s="307"/>
      <c r="T102" s="307"/>
      <c r="U102" s="307"/>
      <c r="V102" s="309"/>
    </row>
    <row r="103" spans="1:22" s="96" customFormat="1" ht="15.75" x14ac:dyDescent="0.25">
      <c r="A103" s="302"/>
      <c r="B103" s="306" t="s">
        <v>155</v>
      </c>
      <c r="C103" s="307"/>
      <c r="D103" s="307"/>
      <c r="E103" s="307"/>
      <c r="F103" s="307"/>
      <c r="G103" s="307"/>
      <c r="H103" s="310">
        <f>+H$100/H$85</f>
        <v>1.7138774781210928</v>
      </c>
      <c r="I103" s="310">
        <f>+I$100/H$85</f>
        <v>2.4182889801750314</v>
      </c>
      <c r="J103" s="307"/>
      <c r="K103" s="307"/>
      <c r="L103" s="307"/>
      <c r="M103" s="307"/>
      <c r="N103" s="307"/>
      <c r="O103" s="307"/>
      <c r="P103" s="307"/>
      <c r="Q103" s="307"/>
      <c r="R103" s="307"/>
      <c r="S103" s="307"/>
      <c r="T103" s="307"/>
      <c r="U103" s="307"/>
      <c r="V103" s="309"/>
    </row>
    <row r="104" spans="1:22" s="96" customFormat="1" ht="15.75" x14ac:dyDescent="0.25">
      <c r="A104" s="302"/>
      <c r="B104" s="311" t="s">
        <v>162</v>
      </c>
      <c r="C104" s="312"/>
      <c r="D104" s="312"/>
      <c r="E104" s="312"/>
      <c r="F104" s="312"/>
      <c r="G104" s="312"/>
      <c r="H104" s="313">
        <f>+H103*4</f>
        <v>6.8555099124843712</v>
      </c>
      <c r="I104" s="313">
        <f>+I103*4</f>
        <v>9.6731559207001254</v>
      </c>
      <c r="J104" s="312"/>
      <c r="K104" s="312"/>
      <c r="L104" s="312"/>
      <c r="M104" s="312"/>
      <c r="N104" s="312"/>
      <c r="O104" s="312"/>
      <c r="P104" s="312"/>
      <c r="Q104" s="312"/>
      <c r="R104" s="312"/>
      <c r="S104" s="312"/>
      <c r="T104" s="312"/>
      <c r="U104" s="312"/>
      <c r="V104" s="314"/>
    </row>
    <row r="105" spans="1:22" s="16" customFormat="1" x14ac:dyDescent="0.2">
      <c r="A105" s="17"/>
    </row>
    <row r="106" spans="1:22" ht="20.25" x14ac:dyDescent="0.3">
      <c r="B106" s="316" t="s">
        <v>156</v>
      </c>
    </row>
    <row r="107" spans="1:22" ht="20.25" x14ac:dyDescent="0.3">
      <c r="B107" s="315" t="s">
        <v>158</v>
      </c>
    </row>
    <row r="108" spans="1:22" ht="20.25" x14ac:dyDescent="0.3">
      <c r="B108" s="315" t="s">
        <v>159</v>
      </c>
    </row>
    <row r="109" spans="1:22" ht="20.25" x14ac:dyDescent="0.3">
      <c r="B109" s="315" t="s">
        <v>157</v>
      </c>
    </row>
  </sheetData>
  <phoneticPr fontId="7" type="noConversion"/>
  <pageMargins left="0.75" right="0.75" top="1" bottom="1" header="0.5" footer="0.5"/>
  <pageSetup paperSize="9" orientation="portrait" horizontalDpi="0" verticalDpi="0" r:id="rId1"/>
  <headerFooter alignWithMargins="0"/>
  <ignoredErrors>
    <ignoredError sqref="Q50" formula="1"/>
  </ignoredErrors>
  <legacyDrawing r:id="rId2"/>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4"/>
  <dimension ref="A1:V120"/>
  <sheetViews>
    <sheetView topLeftCell="A4" workbookViewId="0">
      <selection activeCell="F27" sqref="F27"/>
    </sheetView>
  </sheetViews>
  <sheetFormatPr defaultRowHeight="12.75" x14ac:dyDescent="0.2"/>
  <cols>
    <col min="1" max="1" width="4.5703125" style="6" customWidth="1"/>
    <col min="2" max="2" width="21.42578125" customWidth="1"/>
    <col min="3" max="3" width="8" customWidth="1"/>
    <col min="5" max="5" width="10.85546875" customWidth="1"/>
    <col min="6" max="16" width="9.7109375" customWidth="1"/>
    <col min="17" max="22" width="11.28515625" customWidth="1"/>
  </cols>
  <sheetData>
    <row r="1" spans="1:22" ht="33.75" thickBot="1" x14ac:dyDescent="0.65">
      <c r="B1" s="113" t="s">
        <v>151</v>
      </c>
      <c r="G1" s="98"/>
      <c r="H1" s="65"/>
      <c r="I1" s="64"/>
      <c r="J1" s="65" t="s">
        <v>108</v>
      </c>
      <c r="K1" s="64"/>
      <c r="L1" s="64"/>
    </row>
    <row r="2" spans="1:22" s="98" customFormat="1" ht="36" customHeight="1" thickBot="1" x14ac:dyDescent="0.55000000000000004">
      <c r="A2" s="31"/>
      <c r="B2" s="97"/>
      <c r="G2" s="269"/>
      <c r="H2" s="270"/>
      <c r="I2" s="271"/>
      <c r="J2" s="272" t="s">
        <v>160</v>
      </c>
      <c r="K2" s="271"/>
      <c r="L2" s="271"/>
      <c r="M2" s="273"/>
    </row>
    <row r="3" spans="1:22" ht="20.25" x14ac:dyDescent="0.3">
      <c r="B3" s="114" t="s">
        <v>110</v>
      </c>
      <c r="C3" s="95"/>
      <c r="D3" s="185"/>
      <c r="E3" s="104"/>
      <c r="F3" s="96"/>
    </row>
    <row r="4" spans="1:22" s="19" customFormat="1" ht="16.5" thickBot="1" x14ac:dyDescent="0.3">
      <c r="A4" s="17"/>
      <c r="C4" s="144"/>
      <c r="D4" s="175" t="s">
        <v>20</v>
      </c>
      <c r="E4" s="160" t="s">
        <v>1</v>
      </c>
      <c r="F4" s="20" t="s">
        <v>2</v>
      </c>
      <c r="G4" s="20" t="s">
        <v>3</v>
      </c>
      <c r="H4" s="20" t="s">
        <v>4</v>
      </c>
      <c r="I4" s="21" t="s">
        <v>5</v>
      </c>
      <c r="J4" s="21" t="s">
        <v>6</v>
      </c>
      <c r="K4" s="21" t="s">
        <v>7</v>
      </c>
      <c r="L4" s="21" t="s">
        <v>8</v>
      </c>
      <c r="M4" s="22" t="s">
        <v>9</v>
      </c>
      <c r="N4" s="22" t="s">
        <v>10</v>
      </c>
      <c r="O4" s="22" t="s">
        <v>11</v>
      </c>
      <c r="P4" s="22" t="s">
        <v>12</v>
      </c>
      <c r="Q4" s="274">
        <v>2015</v>
      </c>
      <c r="R4" s="279">
        <v>2016</v>
      </c>
      <c r="S4" s="274">
        <v>2017</v>
      </c>
      <c r="T4" s="279">
        <v>2018</v>
      </c>
      <c r="U4" s="274">
        <v>2019</v>
      </c>
      <c r="V4" s="279">
        <v>2020</v>
      </c>
    </row>
    <row r="5" spans="1:22" s="129" customFormat="1" ht="17.25" thickBot="1" x14ac:dyDescent="0.3">
      <c r="B5" s="136" t="s">
        <v>105</v>
      </c>
      <c r="C5" s="137"/>
      <c r="D5" s="137"/>
      <c r="E5" s="138"/>
      <c r="F5" s="138"/>
      <c r="G5" s="138"/>
      <c r="H5" s="179"/>
      <c r="I5" s="138">
        <v>2.2499999999999999E-2</v>
      </c>
      <c r="J5" s="138">
        <f t="shared" ref="J5:O6" si="0">+I5</f>
        <v>2.2499999999999999E-2</v>
      </c>
      <c r="K5" s="138">
        <f t="shared" si="0"/>
        <v>2.2499999999999999E-2</v>
      </c>
      <c r="L5" s="139">
        <f t="shared" si="0"/>
        <v>2.2499999999999999E-2</v>
      </c>
      <c r="M5" s="181">
        <f t="shared" si="0"/>
        <v>2.2499999999999999E-2</v>
      </c>
      <c r="N5" s="138">
        <f t="shared" si="0"/>
        <v>2.2499999999999999E-2</v>
      </c>
      <c r="O5" s="138">
        <f t="shared" si="0"/>
        <v>2.2499999999999999E-2</v>
      </c>
      <c r="P5" s="139">
        <f>+O5</f>
        <v>2.2499999999999999E-2</v>
      </c>
      <c r="Q5" s="179">
        <v>0.15</v>
      </c>
      <c r="R5" s="179">
        <v>0.15</v>
      </c>
      <c r="S5" s="139">
        <v>0.15</v>
      </c>
      <c r="T5" s="139">
        <v>0.15</v>
      </c>
      <c r="U5" s="139">
        <v>0.15</v>
      </c>
      <c r="V5" s="139">
        <v>0.15</v>
      </c>
    </row>
    <row r="6" spans="1:22" s="129" customFormat="1" ht="17.25" thickBot="1" x14ac:dyDescent="0.3">
      <c r="B6" s="130" t="s">
        <v>106</v>
      </c>
      <c r="C6" s="131"/>
      <c r="D6" s="131"/>
      <c r="E6" s="138"/>
      <c r="F6" s="132"/>
      <c r="G6" s="132"/>
      <c r="H6" s="180"/>
      <c r="I6" s="182">
        <v>-4.3999999999999997E-2</v>
      </c>
      <c r="J6" s="132">
        <f t="shared" si="0"/>
        <v>-4.3999999999999997E-2</v>
      </c>
      <c r="K6" s="132">
        <f t="shared" si="0"/>
        <v>-4.3999999999999997E-2</v>
      </c>
      <c r="L6" s="133">
        <f t="shared" si="0"/>
        <v>-4.3999999999999997E-2</v>
      </c>
      <c r="M6" s="182">
        <f t="shared" si="0"/>
        <v>-4.3999999999999997E-2</v>
      </c>
      <c r="N6" s="132">
        <f t="shared" si="0"/>
        <v>-4.3999999999999997E-2</v>
      </c>
      <c r="O6" s="132">
        <f t="shared" si="0"/>
        <v>-4.3999999999999997E-2</v>
      </c>
      <c r="P6" s="133">
        <f>+O6</f>
        <v>-4.3999999999999997E-2</v>
      </c>
      <c r="Q6" s="180">
        <v>-0.15</v>
      </c>
      <c r="R6" s="180">
        <v>-0.15</v>
      </c>
      <c r="S6" s="133">
        <v>-0.1</v>
      </c>
      <c r="T6" s="133">
        <v>-0.05</v>
      </c>
      <c r="U6" s="133">
        <v>0</v>
      </c>
      <c r="V6" s="133">
        <v>0</v>
      </c>
    </row>
    <row r="7" spans="1:22" ht="20.25" x14ac:dyDescent="0.3">
      <c r="B7" s="94"/>
      <c r="C7" s="95"/>
      <c r="D7" s="95"/>
      <c r="E7" s="104"/>
      <c r="F7" s="238"/>
      <c r="G7" s="287"/>
      <c r="H7" s="288"/>
    </row>
    <row r="8" spans="1:22" s="16" customFormat="1" ht="15.75" x14ac:dyDescent="0.25">
      <c r="A8" s="17"/>
      <c r="D8" s="155"/>
      <c r="E8" s="189"/>
      <c r="F8" s="189"/>
      <c r="G8" s="189"/>
      <c r="H8" s="289" t="s">
        <v>56</v>
      </c>
    </row>
    <row r="9" spans="1:22" s="19" customFormat="1" x14ac:dyDescent="0.2">
      <c r="A9" s="17"/>
      <c r="C9" s="144" t="s">
        <v>36</v>
      </c>
      <c r="D9" s="175" t="s">
        <v>20</v>
      </c>
      <c r="E9" s="239" t="s">
        <v>1</v>
      </c>
      <c r="F9" s="239" t="s">
        <v>2</v>
      </c>
      <c r="G9" s="239" t="s">
        <v>3</v>
      </c>
      <c r="H9" s="200" t="s">
        <v>4</v>
      </c>
      <c r="I9" s="21" t="s">
        <v>5</v>
      </c>
      <c r="J9" s="21" t="s">
        <v>6</v>
      </c>
      <c r="K9" s="21" t="s">
        <v>7</v>
      </c>
      <c r="L9" s="21" t="s">
        <v>8</v>
      </c>
      <c r="M9" s="22" t="s">
        <v>9</v>
      </c>
      <c r="N9" s="22" t="s">
        <v>10</v>
      </c>
      <c r="O9" s="22" t="s">
        <v>11</v>
      </c>
      <c r="P9" s="22" t="s">
        <v>12</v>
      </c>
      <c r="Q9" s="331">
        <v>2015</v>
      </c>
      <c r="R9" s="115">
        <v>2016</v>
      </c>
      <c r="S9" s="331">
        <v>2017</v>
      </c>
      <c r="T9" s="115">
        <v>2018</v>
      </c>
      <c r="U9" s="331">
        <v>2019</v>
      </c>
      <c r="V9" s="115">
        <v>2020</v>
      </c>
    </row>
    <row r="10" spans="1:22" s="2" customFormat="1" x14ac:dyDescent="0.2">
      <c r="A10" s="31"/>
      <c r="B10" s="53" t="s">
        <v>57</v>
      </c>
      <c r="C10" s="145"/>
      <c r="D10" s="149"/>
      <c r="E10" s="149"/>
      <c r="F10" s="149"/>
      <c r="G10" s="149"/>
      <c r="H10" s="290"/>
    </row>
    <row r="11" spans="1:22" s="2" customFormat="1" x14ac:dyDescent="0.2">
      <c r="A11" s="31"/>
      <c r="B11" s="103"/>
      <c r="C11" s="145"/>
      <c r="D11" s="149"/>
      <c r="E11" s="149"/>
      <c r="F11" s="149"/>
      <c r="G11" s="149"/>
      <c r="H11" s="290"/>
    </row>
    <row r="12" spans="1:22" s="2" customFormat="1" x14ac:dyDescent="0.2">
      <c r="A12" s="31"/>
      <c r="B12" s="72" t="s">
        <v>73</v>
      </c>
      <c r="C12" s="145"/>
      <c r="D12" s="157">
        <v>90</v>
      </c>
      <c r="E12" s="157">
        <v>85.9</v>
      </c>
      <c r="F12" s="157">
        <v>89.7</v>
      </c>
      <c r="G12" s="157">
        <v>92</v>
      </c>
      <c r="H12" s="291">
        <v>99.7</v>
      </c>
      <c r="I12" s="12">
        <f t="shared" ref="I12:P12" si="1">+H12*(1+I13)</f>
        <v>101.94325000000001</v>
      </c>
      <c r="J12" s="12">
        <f t="shared" si="1"/>
        <v>104.23697312500001</v>
      </c>
      <c r="K12" s="12">
        <f t="shared" si="1"/>
        <v>106.5823050203125</v>
      </c>
      <c r="L12" s="12">
        <f t="shared" si="1"/>
        <v>108.98040688326954</v>
      </c>
      <c r="M12" s="12">
        <f t="shared" si="1"/>
        <v>111.4324660381431</v>
      </c>
      <c r="N12" s="12">
        <f t="shared" si="1"/>
        <v>113.93969652400132</v>
      </c>
      <c r="O12" s="12">
        <f t="shared" si="1"/>
        <v>116.50333969579134</v>
      </c>
      <c r="P12" s="12">
        <f t="shared" si="1"/>
        <v>119.12466483894664</v>
      </c>
      <c r="Q12" s="12">
        <f>+P12*4</f>
        <v>476.49865935578657</v>
      </c>
      <c r="R12" s="12">
        <f>+Q12*(1+R13)</f>
        <v>547.97345825915454</v>
      </c>
      <c r="S12" s="12">
        <f>+R12*(1+S13)</f>
        <v>630.16947699802768</v>
      </c>
      <c r="T12" s="12">
        <f>+S12*(1+T13)</f>
        <v>724.69489854773178</v>
      </c>
      <c r="U12" s="12">
        <f>+T12*(1+U13)</f>
        <v>833.39913332989147</v>
      </c>
      <c r="V12" s="12">
        <f>+U12*(1+V13)</f>
        <v>958.40900332937508</v>
      </c>
    </row>
    <row r="13" spans="1:22" s="2" customFormat="1" x14ac:dyDescent="0.2">
      <c r="A13" s="31"/>
      <c r="B13" s="73" t="s">
        <v>76</v>
      </c>
      <c r="C13" s="146"/>
      <c r="D13" s="146"/>
      <c r="E13" s="190"/>
      <c r="F13" s="190"/>
      <c r="G13" s="190"/>
      <c r="H13" s="292"/>
      <c r="I13" s="77">
        <f t="shared" ref="I13:R13" si="2">+I5</f>
        <v>2.2499999999999999E-2</v>
      </c>
      <c r="J13" s="77">
        <f t="shared" si="2"/>
        <v>2.2499999999999999E-2</v>
      </c>
      <c r="K13" s="77">
        <f t="shared" si="2"/>
        <v>2.2499999999999999E-2</v>
      </c>
      <c r="L13" s="77">
        <f t="shared" si="2"/>
        <v>2.2499999999999999E-2</v>
      </c>
      <c r="M13" s="77">
        <f t="shared" si="2"/>
        <v>2.2499999999999999E-2</v>
      </c>
      <c r="N13" s="77">
        <f t="shared" si="2"/>
        <v>2.2499999999999999E-2</v>
      </c>
      <c r="O13" s="77">
        <f t="shared" si="2"/>
        <v>2.2499999999999999E-2</v>
      </c>
      <c r="P13" s="77">
        <f t="shared" si="2"/>
        <v>2.2499999999999999E-2</v>
      </c>
      <c r="Q13" s="77">
        <f t="shared" si="2"/>
        <v>0.15</v>
      </c>
      <c r="R13" s="77">
        <f t="shared" si="2"/>
        <v>0.15</v>
      </c>
      <c r="S13" s="77">
        <f>+S5</f>
        <v>0.15</v>
      </c>
      <c r="T13" s="77">
        <f>+T5</f>
        <v>0.15</v>
      </c>
      <c r="U13" s="77">
        <f>+U5</f>
        <v>0.15</v>
      </c>
      <c r="V13" s="77">
        <f>+V5</f>
        <v>0.15</v>
      </c>
    </row>
    <row r="14" spans="1:22" s="111" customFormat="1" x14ac:dyDescent="0.2">
      <c r="A14" s="109"/>
      <c r="B14" s="110" t="s">
        <v>122</v>
      </c>
      <c r="C14" s="107"/>
      <c r="D14" s="107">
        <v>0.39400000000000002</v>
      </c>
      <c r="E14" s="107">
        <v>0.4</v>
      </c>
      <c r="F14" s="107">
        <f t="shared" ref="F14:R14" si="3">+E14</f>
        <v>0.4</v>
      </c>
      <c r="G14" s="107">
        <v>0.43</v>
      </c>
      <c r="H14" s="293">
        <v>0.495</v>
      </c>
      <c r="I14" s="111">
        <f t="shared" si="3"/>
        <v>0.495</v>
      </c>
      <c r="J14" s="111">
        <f t="shared" si="3"/>
        <v>0.495</v>
      </c>
      <c r="K14" s="111">
        <f t="shared" si="3"/>
        <v>0.495</v>
      </c>
      <c r="L14" s="111">
        <f t="shared" si="3"/>
        <v>0.495</v>
      </c>
      <c r="M14" s="111">
        <f t="shared" si="3"/>
        <v>0.495</v>
      </c>
      <c r="N14" s="111">
        <f t="shared" si="3"/>
        <v>0.495</v>
      </c>
      <c r="O14" s="111">
        <f t="shared" si="3"/>
        <v>0.495</v>
      </c>
      <c r="P14" s="111">
        <f t="shared" si="3"/>
        <v>0.495</v>
      </c>
      <c r="Q14" s="111">
        <f t="shared" si="3"/>
        <v>0.495</v>
      </c>
      <c r="R14" s="111">
        <f t="shared" si="3"/>
        <v>0.495</v>
      </c>
      <c r="S14" s="111">
        <f>+R14</f>
        <v>0.495</v>
      </c>
      <c r="T14" s="111">
        <f>+S14</f>
        <v>0.495</v>
      </c>
      <c r="U14" s="111">
        <f>+T14</f>
        <v>0.495</v>
      </c>
      <c r="V14" s="111">
        <f>+U14</f>
        <v>0.495</v>
      </c>
    </row>
    <row r="15" spans="1:22" s="2" customFormat="1" x14ac:dyDescent="0.2">
      <c r="A15" s="31"/>
      <c r="B15" s="26" t="s">
        <v>75</v>
      </c>
      <c r="C15" s="145"/>
      <c r="D15" s="80">
        <f>+D12*D14</f>
        <v>35.46</v>
      </c>
      <c r="E15" s="80">
        <f>+E12*E14</f>
        <v>34.360000000000007</v>
      </c>
      <c r="F15" s="80">
        <f t="shared" ref="F15:R15" si="4">+F12*F14</f>
        <v>35.880000000000003</v>
      </c>
      <c r="G15" s="80">
        <f t="shared" si="4"/>
        <v>39.56</v>
      </c>
      <c r="H15" s="205">
        <f t="shared" si="4"/>
        <v>49.351500000000001</v>
      </c>
      <c r="I15" s="80">
        <f t="shared" si="4"/>
        <v>50.461908749999999</v>
      </c>
      <c r="J15" s="80">
        <f t="shared" si="4"/>
        <v>51.597301696875</v>
      </c>
      <c r="K15" s="80">
        <f t="shared" si="4"/>
        <v>52.758240985054691</v>
      </c>
      <c r="L15" s="80">
        <f t="shared" si="4"/>
        <v>53.945301407218423</v>
      </c>
      <c r="M15" s="80">
        <f t="shared" si="4"/>
        <v>55.159070688880838</v>
      </c>
      <c r="N15" s="80">
        <f t="shared" si="4"/>
        <v>56.400149779380655</v>
      </c>
      <c r="O15" s="80">
        <f t="shared" si="4"/>
        <v>57.669153149416715</v>
      </c>
      <c r="P15" s="80">
        <f t="shared" si="4"/>
        <v>58.966709095278588</v>
      </c>
      <c r="Q15" s="80">
        <f t="shared" si="4"/>
        <v>235.86683638111435</v>
      </c>
      <c r="R15" s="80">
        <f t="shared" si="4"/>
        <v>271.24686183828152</v>
      </c>
      <c r="S15" s="80">
        <f>+S12*S14</f>
        <v>311.93389111402371</v>
      </c>
      <c r="T15" s="80">
        <f>+T12*T14</f>
        <v>358.72397478112725</v>
      </c>
      <c r="U15" s="80">
        <f>+U12*U14</f>
        <v>412.53257099829625</v>
      </c>
      <c r="V15" s="80">
        <f>+V12*V14</f>
        <v>474.41245664804069</v>
      </c>
    </row>
    <row r="16" spans="1:22" s="2" customFormat="1" x14ac:dyDescent="0.2">
      <c r="A16" s="31"/>
      <c r="B16" s="72"/>
      <c r="C16" s="145"/>
      <c r="D16" s="157"/>
      <c r="E16" s="157"/>
      <c r="F16" s="157"/>
      <c r="G16" s="157"/>
      <c r="H16" s="291"/>
      <c r="I16" s="12"/>
      <c r="J16" s="12"/>
      <c r="K16" s="12"/>
      <c r="L16" s="12"/>
      <c r="M16" s="12"/>
      <c r="N16" s="12"/>
      <c r="O16" s="12"/>
      <c r="P16" s="12"/>
      <c r="Q16" s="12"/>
      <c r="R16" s="12"/>
      <c r="S16" s="12"/>
      <c r="T16" s="12"/>
      <c r="U16" s="12"/>
      <c r="V16" s="12"/>
    </row>
    <row r="17" spans="1:22" s="2" customFormat="1" x14ac:dyDescent="0.2">
      <c r="A17" s="31"/>
      <c r="B17" s="72" t="s">
        <v>74</v>
      </c>
      <c r="C17" s="145"/>
      <c r="D17" s="157">
        <v>223.3</v>
      </c>
      <c r="E17" s="157">
        <f>+E22-E12</f>
        <v>203.20000000000002</v>
      </c>
      <c r="F17" s="157">
        <f>+F22-F12</f>
        <v>196.8</v>
      </c>
      <c r="G17" s="157">
        <f>+G22-G12</f>
        <v>175.7</v>
      </c>
      <c r="H17" s="291">
        <f>+H22-H12</f>
        <v>164.7</v>
      </c>
      <c r="I17" s="12">
        <f t="shared" ref="I17:R17" si="5">+H17*(1+I18)</f>
        <v>157.45319999999998</v>
      </c>
      <c r="J17" s="12">
        <f t="shared" si="5"/>
        <v>150.52525919999997</v>
      </c>
      <c r="K17" s="12">
        <f t="shared" si="5"/>
        <v>143.90214779519997</v>
      </c>
      <c r="L17" s="12">
        <f t="shared" si="5"/>
        <v>137.57045329221117</v>
      </c>
      <c r="M17" s="12">
        <f t="shared" si="5"/>
        <v>131.51735334735386</v>
      </c>
      <c r="N17" s="12">
        <f t="shared" si="5"/>
        <v>125.73058980007029</v>
      </c>
      <c r="O17" s="12">
        <f t="shared" si="5"/>
        <v>120.1984438488672</v>
      </c>
      <c r="P17" s="12">
        <f t="shared" si="5"/>
        <v>114.90971231951704</v>
      </c>
      <c r="Q17" s="12">
        <f>+P17*4</f>
        <v>459.63884927806816</v>
      </c>
      <c r="R17" s="12">
        <f t="shared" si="5"/>
        <v>390.69302188635794</v>
      </c>
      <c r="S17" s="12">
        <f>+R17*(1+S18)</f>
        <v>351.62371969772215</v>
      </c>
      <c r="T17" s="12">
        <f>+S17*(1+T18)</f>
        <v>334.04253371283602</v>
      </c>
      <c r="U17" s="12">
        <f>+T17*(1+U18)</f>
        <v>334.04253371283602</v>
      </c>
      <c r="V17" s="12">
        <f>+U17*(1+V18)</f>
        <v>334.04253371283602</v>
      </c>
    </row>
    <row r="18" spans="1:22" s="2" customFormat="1" x14ac:dyDescent="0.2">
      <c r="A18" s="31"/>
      <c r="B18" s="73" t="s">
        <v>79</v>
      </c>
      <c r="C18" s="145"/>
      <c r="D18" s="157"/>
      <c r="E18" s="191"/>
      <c r="F18" s="191"/>
      <c r="G18" s="191"/>
      <c r="H18" s="294"/>
      <c r="I18" s="78">
        <f t="shared" ref="I18:R18" si="6">+I6</f>
        <v>-4.3999999999999997E-2</v>
      </c>
      <c r="J18" s="78">
        <f t="shared" si="6"/>
        <v>-4.3999999999999997E-2</v>
      </c>
      <c r="K18" s="78">
        <f t="shared" si="6"/>
        <v>-4.3999999999999997E-2</v>
      </c>
      <c r="L18" s="78">
        <f t="shared" si="6"/>
        <v>-4.3999999999999997E-2</v>
      </c>
      <c r="M18" s="78">
        <f t="shared" si="6"/>
        <v>-4.3999999999999997E-2</v>
      </c>
      <c r="N18" s="78">
        <f t="shared" si="6"/>
        <v>-4.3999999999999997E-2</v>
      </c>
      <c r="O18" s="78">
        <f t="shared" si="6"/>
        <v>-4.3999999999999997E-2</v>
      </c>
      <c r="P18" s="78">
        <f t="shared" si="6"/>
        <v>-4.3999999999999997E-2</v>
      </c>
      <c r="Q18" s="78">
        <f t="shared" si="6"/>
        <v>-0.15</v>
      </c>
      <c r="R18" s="78">
        <f t="shared" si="6"/>
        <v>-0.15</v>
      </c>
      <c r="S18" s="78">
        <f>+S6</f>
        <v>-0.1</v>
      </c>
      <c r="T18" s="78">
        <f>+T6</f>
        <v>-0.05</v>
      </c>
      <c r="U18" s="78">
        <f>+U6</f>
        <v>0</v>
      </c>
      <c r="V18" s="78">
        <f>+V6</f>
        <v>0</v>
      </c>
    </row>
    <row r="19" spans="1:22" s="111" customFormat="1" x14ac:dyDescent="0.2">
      <c r="A19" s="109"/>
      <c r="B19" s="110" t="s">
        <v>122</v>
      </c>
      <c r="C19" s="147"/>
      <c r="D19" s="107">
        <v>0.5</v>
      </c>
      <c r="E19" s="107">
        <f>+E20/E17</f>
        <v>0.54940944881889753</v>
      </c>
      <c r="F19" s="107">
        <f>+F20/F17</f>
        <v>0.55548780487804872</v>
      </c>
      <c r="G19" s="107">
        <f>+G20/G17</f>
        <v>0.55913488901536723</v>
      </c>
      <c r="H19" s="293">
        <f>+H20/H17</f>
        <v>0.55979659987856722</v>
      </c>
      <c r="I19" s="107">
        <v>0.54</v>
      </c>
      <c r="J19" s="107">
        <v>0.53500000000000003</v>
      </c>
      <c r="K19" s="107">
        <v>0.53</v>
      </c>
      <c r="L19" s="107">
        <v>0.53</v>
      </c>
      <c r="M19" s="107">
        <v>0.53</v>
      </c>
      <c r="N19" s="107">
        <v>0.53</v>
      </c>
      <c r="O19" s="107">
        <v>0.53</v>
      </c>
      <c r="P19" s="107">
        <v>0.53</v>
      </c>
      <c r="Q19" s="107">
        <v>0.53</v>
      </c>
      <c r="R19" s="107">
        <v>0.53</v>
      </c>
      <c r="S19" s="107">
        <v>0.53</v>
      </c>
      <c r="T19" s="107">
        <v>0.53</v>
      </c>
      <c r="U19" s="107">
        <v>0.53</v>
      </c>
      <c r="V19" s="107">
        <v>0.53</v>
      </c>
    </row>
    <row r="20" spans="1:22" s="2" customFormat="1" x14ac:dyDescent="0.2">
      <c r="A20" s="31"/>
      <c r="B20" s="26" t="s">
        <v>77</v>
      </c>
      <c r="C20" s="145"/>
      <c r="D20" s="80">
        <f>+D17*D19</f>
        <v>111.65</v>
      </c>
      <c r="E20" s="80">
        <f>+E23-E15</f>
        <v>111.63999999999999</v>
      </c>
      <c r="F20" s="80">
        <f>+F23-F15</f>
        <v>109.32</v>
      </c>
      <c r="G20" s="80">
        <f>+G23-G15</f>
        <v>98.240000000000009</v>
      </c>
      <c r="H20" s="205">
        <f>+H23-H15</f>
        <v>92.19850000000001</v>
      </c>
      <c r="I20" s="80">
        <f t="shared" ref="I20:R20" si="7">+I17*I19</f>
        <v>85.024727999999996</v>
      </c>
      <c r="J20" s="80">
        <f t="shared" si="7"/>
        <v>80.531013671999986</v>
      </c>
      <c r="K20" s="80">
        <f t="shared" si="7"/>
        <v>76.268138331455987</v>
      </c>
      <c r="L20" s="80">
        <f t="shared" si="7"/>
        <v>72.912340244871928</v>
      </c>
      <c r="M20" s="80">
        <f t="shared" si="7"/>
        <v>69.704197274097552</v>
      </c>
      <c r="N20" s="80">
        <f t="shared" si="7"/>
        <v>66.637212594037251</v>
      </c>
      <c r="O20" s="80">
        <f t="shared" si="7"/>
        <v>63.705175239899617</v>
      </c>
      <c r="P20" s="80">
        <f t="shared" si="7"/>
        <v>60.902147529344035</v>
      </c>
      <c r="Q20" s="80">
        <f t="shared" si="7"/>
        <v>243.60859011737614</v>
      </c>
      <c r="R20" s="80">
        <f t="shared" si="7"/>
        <v>207.06730159976971</v>
      </c>
      <c r="S20" s="80">
        <f>+S17*S19</f>
        <v>186.36057143979275</v>
      </c>
      <c r="T20" s="80">
        <f>+T17*T19</f>
        <v>177.04254286780309</v>
      </c>
      <c r="U20" s="80">
        <f>+U17*U19</f>
        <v>177.04254286780309</v>
      </c>
      <c r="V20" s="80">
        <f>+V17*V19</f>
        <v>177.04254286780309</v>
      </c>
    </row>
    <row r="21" spans="1:22" s="2" customFormat="1" x14ac:dyDescent="0.2">
      <c r="A21" s="31"/>
      <c r="B21" s="73"/>
      <c r="C21" s="145"/>
      <c r="D21" s="38"/>
      <c r="E21" s="38"/>
      <c r="F21" s="38"/>
      <c r="G21" s="38"/>
      <c r="H21" s="295"/>
      <c r="I21" s="38"/>
      <c r="J21" s="38"/>
      <c r="K21" s="38"/>
      <c r="L21" s="38"/>
      <c r="M21" s="38"/>
      <c r="N21" s="38"/>
      <c r="O21" s="38"/>
      <c r="P21" s="38"/>
      <c r="Q21" s="38"/>
      <c r="R21" s="38"/>
      <c r="S21" s="38"/>
      <c r="T21" s="38"/>
      <c r="U21" s="38"/>
      <c r="V21" s="38"/>
    </row>
    <row r="22" spans="1:22" s="2" customFormat="1" x14ac:dyDescent="0.2">
      <c r="A22" s="31"/>
      <c r="B22" s="73" t="s">
        <v>80</v>
      </c>
      <c r="C22" s="145"/>
      <c r="D22" s="157">
        <f>+D12+D17</f>
        <v>313.3</v>
      </c>
      <c r="E22" s="157">
        <v>289.10000000000002</v>
      </c>
      <c r="F22" s="157">
        <v>286.5</v>
      </c>
      <c r="G22" s="157">
        <v>267.7</v>
      </c>
      <c r="H22" s="291">
        <v>264.39999999999998</v>
      </c>
      <c r="I22" s="12">
        <f t="shared" ref="I22:R22" si="8">+I12+I17</f>
        <v>259.39644999999996</v>
      </c>
      <c r="J22" s="12">
        <f t="shared" si="8"/>
        <v>254.76223232499996</v>
      </c>
      <c r="K22" s="12">
        <f t="shared" si="8"/>
        <v>250.48445281551247</v>
      </c>
      <c r="L22" s="12">
        <f t="shared" si="8"/>
        <v>246.55086017548069</v>
      </c>
      <c r="M22" s="12">
        <f t="shared" si="8"/>
        <v>242.94981938549697</v>
      </c>
      <c r="N22" s="12">
        <f t="shared" si="8"/>
        <v>239.67028632407161</v>
      </c>
      <c r="O22" s="12">
        <f t="shared" si="8"/>
        <v>236.70178354465855</v>
      </c>
      <c r="P22" s="12">
        <f t="shared" si="8"/>
        <v>234.03437715846368</v>
      </c>
      <c r="Q22" s="12">
        <f t="shared" si="8"/>
        <v>936.13750863385474</v>
      </c>
      <c r="R22" s="12">
        <f t="shared" si="8"/>
        <v>938.66648014551242</v>
      </c>
      <c r="S22" s="12">
        <f>+S12+S17</f>
        <v>981.79319669574988</v>
      </c>
      <c r="T22" s="12">
        <f>+T12+T17</f>
        <v>1058.7374322605679</v>
      </c>
      <c r="U22" s="12">
        <f>+U12+U17</f>
        <v>1167.4416670427274</v>
      </c>
      <c r="V22" s="12">
        <f>+V12+V17</f>
        <v>1292.4515370422112</v>
      </c>
    </row>
    <row r="23" spans="1:22" s="26" customFormat="1" ht="13.5" thickBot="1" x14ac:dyDescent="0.25">
      <c r="A23" s="32" t="s">
        <v>15</v>
      </c>
      <c r="B23" s="32" t="s">
        <v>112</v>
      </c>
      <c r="C23" s="148"/>
      <c r="D23" s="81">
        <f>+D15+D20</f>
        <v>147.11000000000001</v>
      </c>
      <c r="E23" s="81">
        <v>146</v>
      </c>
      <c r="F23" s="81">
        <v>145.19999999999999</v>
      </c>
      <c r="G23" s="81">
        <v>137.80000000000001</v>
      </c>
      <c r="H23" s="208">
        <v>141.55000000000001</v>
      </c>
      <c r="I23" s="81">
        <f t="shared" ref="I23:R23" si="9">+I15+I20</f>
        <v>135.48663675</v>
      </c>
      <c r="J23" s="81">
        <f t="shared" si="9"/>
        <v>132.12831536887498</v>
      </c>
      <c r="K23" s="81">
        <f t="shared" si="9"/>
        <v>129.02637931651068</v>
      </c>
      <c r="L23" s="81">
        <f t="shared" si="9"/>
        <v>126.85764165209035</v>
      </c>
      <c r="M23" s="81">
        <f t="shared" si="9"/>
        <v>124.8632679629784</v>
      </c>
      <c r="N23" s="81">
        <f t="shared" si="9"/>
        <v>123.03736237341791</v>
      </c>
      <c r="O23" s="81">
        <f t="shared" si="9"/>
        <v>121.37432838931633</v>
      </c>
      <c r="P23" s="81">
        <f t="shared" si="9"/>
        <v>119.86885662462262</v>
      </c>
      <c r="Q23" s="81">
        <f t="shared" si="9"/>
        <v>479.47542649849049</v>
      </c>
      <c r="R23" s="81">
        <f t="shared" si="9"/>
        <v>478.3141634380512</v>
      </c>
      <c r="S23" s="81">
        <f>+S15+S20</f>
        <v>498.29446255381646</v>
      </c>
      <c r="T23" s="81">
        <f>+T15+T20</f>
        <v>535.7665176489304</v>
      </c>
      <c r="U23" s="81">
        <f>+U15+U20</f>
        <v>589.5751138660994</v>
      </c>
      <c r="V23" s="81">
        <f>+V15+V20</f>
        <v>651.45499951584384</v>
      </c>
    </row>
    <row r="24" spans="1:22" s="26" customFormat="1" ht="13.5" thickTop="1" x14ac:dyDescent="0.2">
      <c r="A24" s="32"/>
      <c r="B24" s="26" t="s">
        <v>81</v>
      </c>
      <c r="C24" s="148" t="s">
        <v>125</v>
      </c>
      <c r="D24" s="83">
        <f>+D23/D22</f>
        <v>0.46954995212256628</v>
      </c>
      <c r="E24" s="241">
        <f>+E23/E22</f>
        <v>0.50501556554825311</v>
      </c>
      <c r="F24" s="241">
        <f>+F23/F22</f>
        <v>0.50680628272251305</v>
      </c>
      <c r="G24" s="241">
        <f t="shared" ref="G24:R24" si="10">+G23/G22</f>
        <v>0.51475532312289884</v>
      </c>
      <c r="H24" s="242">
        <f t="shared" si="10"/>
        <v>0.53536308623298046</v>
      </c>
      <c r="I24" s="240">
        <f t="shared" si="10"/>
        <v>0.52231492277554303</v>
      </c>
      <c r="J24" s="240">
        <f t="shared" si="10"/>
        <v>0.51863384208503482</v>
      </c>
      <c r="K24" s="240">
        <f t="shared" si="10"/>
        <v>0.51510733646827001</v>
      </c>
      <c r="L24" s="240">
        <f t="shared" si="10"/>
        <v>0.51452930061489299</v>
      </c>
      <c r="M24" s="251">
        <f t="shared" si="10"/>
        <v>0.51394674126039785</v>
      </c>
      <c r="N24" s="251">
        <f t="shared" si="10"/>
        <v>0.51336093539376926</v>
      </c>
      <c r="O24" s="251">
        <f t="shared" si="10"/>
        <v>0.51277318899634161</v>
      </c>
      <c r="P24" s="251">
        <f t="shared" si="10"/>
        <v>0.51218482549450384</v>
      </c>
      <c r="Q24" s="276">
        <f t="shared" si="10"/>
        <v>0.51218482549450384</v>
      </c>
      <c r="R24" s="241">
        <f t="shared" si="10"/>
        <v>0.50956774696365292</v>
      </c>
      <c r="S24" s="276">
        <f>+S23/S22</f>
        <v>0.50753505344184424</v>
      </c>
      <c r="T24" s="241">
        <f>+T23/T22</f>
        <v>0.5060428594698746</v>
      </c>
      <c r="U24" s="276">
        <f>+U23/U22</f>
        <v>0.50501462343687398</v>
      </c>
      <c r="V24" s="241">
        <f>+V23/V22</f>
        <v>0.50404597839444365</v>
      </c>
    </row>
    <row r="25" spans="1:22" s="2" customFormat="1" x14ac:dyDescent="0.2">
      <c r="A25" s="31"/>
      <c r="B25" s="103"/>
      <c r="C25" s="145"/>
      <c r="D25" s="149"/>
      <c r="E25" s="149"/>
      <c r="F25" s="149"/>
      <c r="G25" s="149"/>
      <c r="H25" s="290"/>
    </row>
    <row r="26" spans="1:22" s="26" customFormat="1" x14ac:dyDescent="0.2">
      <c r="A26" s="32"/>
      <c r="B26" s="25"/>
      <c r="C26" s="148"/>
      <c r="D26" s="38"/>
      <c r="E26" s="38"/>
      <c r="F26" s="38"/>
      <c r="G26" s="38"/>
      <c r="H26" s="295"/>
      <c r="I26" s="38"/>
      <c r="J26" s="38"/>
      <c r="K26" s="38"/>
      <c r="L26" s="38"/>
      <c r="M26" s="38"/>
      <c r="N26" s="38"/>
      <c r="O26" s="38"/>
      <c r="P26" s="38"/>
      <c r="Q26" s="38"/>
      <c r="R26" s="38"/>
      <c r="S26" s="38"/>
      <c r="T26" s="38"/>
      <c r="U26" s="38"/>
      <c r="V26" s="38"/>
    </row>
    <row r="27" spans="1:22" s="2" customFormat="1" x14ac:dyDescent="0.2">
      <c r="A27" s="31"/>
      <c r="B27" s="53" t="s">
        <v>47</v>
      </c>
      <c r="C27" s="149"/>
      <c r="D27" s="157"/>
      <c r="E27" s="157"/>
      <c r="F27" s="157"/>
      <c r="G27" s="157"/>
      <c r="H27" s="291"/>
      <c r="I27" s="12"/>
      <c r="J27" s="12"/>
      <c r="K27" s="12"/>
      <c r="L27" s="12"/>
      <c r="M27" s="12"/>
      <c r="N27" s="12"/>
      <c r="O27" s="12"/>
      <c r="P27" s="12"/>
      <c r="Q27" s="12"/>
      <c r="R27" s="12"/>
      <c r="S27" s="12"/>
      <c r="T27" s="12"/>
      <c r="U27" s="12"/>
      <c r="V27" s="12"/>
    </row>
    <row r="28" spans="1:22" s="2" customFormat="1" x14ac:dyDescent="0.2">
      <c r="A28" s="31"/>
      <c r="B28" s="25" t="s">
        <v>17</v>
      </c>
      <c r="C28" s="149"/>
      <c r="D28" s="157"/>
      <c r="E28" s="157"/>
      <c r="F28" s="157"/>
      <c r="G28" s="157"/>
      <c r="H28" s="291"/>
      <c r="I28" s="12"/>
      <c r="J28" s="12"/>
      <c r="K28" s="12"/>
      <c r="L28" s="12"/>
      <c r="M28" s="12"/>
      <c r="N28" s="12"/>
      <c r="O28" s="12"/>
      <c r="P28" s="12"/>
      <c r="Q28" s="12"/>
      <c r="R28" s="12"/>
      <c r="S28" s="12"/>
      <c r="T28" s="12"/>
      <c r="U28" s="12"/>
      <c r="V28" s="12"/>
    </row>
    <row r="29" spans="1:22" s="2" customFormat="1" x14ac:dyDescent="0.2">
      <c r="A29" s="31"/>
      <c r="B29" s="1" t="s">
        <v>89</v>
      </c>
      <c r="C29" s="149"/>
      <c r="D29" s="157">
        <v>3.3250000000000002</v>
      </c>
      <c r="E29" s="157">
        <v>2.0699999999999998</v>
      </c>
      <c r="F29" s="157">
        <v>1.7825</v>
      </c>
      <c r="G29" s="157">
        <v>1.4950000000000001</v>
      </c>
      <c r="H29" s="291">
        <v>1.2075</v>
      </c>
      <c r="I29" s="12"/>
      <c r="J29" s="12"/>
      <c r="K29" s="12"/>
      <c r="L29" s="12"/>
      <c r="M29" s="12"/>
      <c r="N29" s="12"/>
      <c r="O29" s="12"/>
      <c r="P29" s="12"/>
      <c r="Q29" s="12"/>
      <c r="R29" s="12"/>
      <c r="S29" s="12"/>
      <c r="T29" s="12"/>
      <c r="U29" s="12"/>
      <c r="V29" s="12"/>
    </row>
    <row r="30" spans="1:22" s="2" customFormat="1" x14ac:dyDescent="0.2">
      <c r="A30" s="31"/>
      <c r="B30" s="1" t="s">
        <v>90</v>
      </c>
      <c r="C30" s="149"/>
      <c r="D30" s="157"/>
      <c r="E30" s="157">
        <v>2.629</v>
      </c>
      <c r="F30" s="157">
        <v>2.629</v>
      </c>
      <c r="G30" s="157">
        <v>2.629</v>
      </c>
      <c r="H30" s="291">
        <v>2.629</v>
      </c>
      <c r="I30" s="12"/>
      <c r="J30" s="12"/>
      <c r="K30" s="12"/>
      <c r="L30" s="12"/>
      <c r="M30" s="12"/>
      <c r="N30" s="12"/>
      <c r="O30" s="12"/>
      <c r="P30" s="12"/>
      <c r="Q30" s="12"/>
      <c r="R30" s="12"/>
      <c r="S30" s="12"/>
      <c r="T30" s="12"/>
      <c r="U30" s="12"/>
      <c r="V30" s="12"/>
    </row>
    <row r="31" spans="1:22" s="2" customFormat="1" x14ac:dyDescent="0.2">
      <c r="A31" s="31"/>
      <c r="B31" s="1" t="s">
        <v>25</v>
      </c>
      <c r="C31" s="187"/>
      <c r="D31" s="157">
        <v>0</v>
      </c>
      <c r="E31" s="157">
        <v>0</v>
      </c>
      <c r="F31" s="157"/>
      <c r="G31" s="157"/>
      <c r="H31" s="291"/>
      <c r="I31" s="12"/>
      <c r="J31" s="12"/>
      <c r="K31" s="12"/>
      <c r="L31" s="12"/>
      <c r="M31" s="12"/>
      <c r="N31" s="12"/>
      <c r="O31" s="12"/>
      <c r="P31" s="12"/>
      <c r="Q31" s="12"/>
      <c r="R31" s="12"/>
      <c r="S31" s="12"/>
      <c r="T31" s="12"/>
      <c r="U31" s="12"/>
      <c r="V31" s="12"/>
    </row>
    <row r="32" spans="1:22" s="2" customFormat="1" x14ac:dyDescent="0.2">
      <c r="A32" s="31"/>
      <c r="B32" s="1" t="s">
        <v>34</v>
      </c>
      <c r="C32" s="149"/>
      <c r="D32" s="157">
        <v>2.875</v>
      </c>
      <c r="E32" s="157">
        <v>2.875</v>
      </c>
      <c r="F32" s="157">
        <v>2.875</v>
      </c>
      <c r="G32" s="157">
        <v>2.875</v>
      </c>
      <c r="H32" s="291">
        <v>2.875</v>
      </c>
      <c r="I32" s="12"/>
      <c r="J32" s="12"/>
      <c r="K32" s="12"/>
      <c r="L32" s="12"/>
      <c r="M32" s="12"/>
      <c r="N32" s="12"/>
      <c r="O32" s="12"/>
      <c r="P32" s="12"/>
      <c r="Q32" s="12"/>
      <c r="R32" s="12"/>
      <c r="S32" s="12"/>
      <c r="T32" s="12"/>
      <c r="U32" s="12"/>
      <c r="V32" s="12"/>
    </row>
    <row r="33" spans="1:22" s="2" customFormat="1" x14ac:dyDescent="0.2">
      <c r="A33" s="31"/>
      <c r="B33" s="1" t="s">
        <v>14</v>
      </c>
      <c r="C33" s="149"/>
      <c r="D33" s="157"/>
      <c r="E33" s="157"/>
      <c r="F33" s="157"/>
      <c r="G33" s="157"/>
      <c r="H33" s="291"/>
      <c r="I33" s="12"/>
      <c r="J33" s="12"/>
      <c r="K33" s="12"/>
      <c r="L33" s="12"/>
      <c r="M33" s="12"/>
      <c r="N33" s="12"/>
      <c r="O33" s="12"/>
      <c r="P33" s="12"/>
      <c r="Q33" s="12"/>
      <c r="R33" s="12"/>
      <c r="S33" s="12"/>
      <c r="T33" s="12"/>
      <c r="U33" s="12"/>
      <c r="V33" s="12"/>
    </row>
    <row r="34" spans="1:22" s="2" customFormat="1" x14ac:dyDescent="0.2">
      <c r="A34" s="31"/>
      <c r="B34" s="7" t="s">
        <v>27</v>
      </c>
      <c r="C34" s="149"/>
      <c r="D34" s="157">
        <v>2.1124999999999998</v>
      </c>
      <c r="E34" s="157">
        <v>2.1124999999999998</v>
      </c>
      <c r="F34" s="157">
        <v>2.1124999999999998</v>
      </c>
      <c r="G34" s="157">
        <v>2.1124999999999998</v>
      </c>
      <c r="H34" s="291">
        <v>2.1124999999999998</v>
      </c>
      <c r="I34" s="12"/>
      <c r="J34" s="12"/>
      <c r="K34" s="12"/>
      <c r="L34" s="12"/>
      <c r="M34" s="12"/>
      <c r="N34" s="12"/>
      <c r="O34" s="12"/>
      <c r="P34" s="12"/>
      <c r="Q34" s="12"/>
      <c r="R34" s="12"/>
      <c r="S34" s="12"/>
      <c r="T34" s="12"/>
      <c r="U34" s="12"/>
      <c r="V34" s="12"/>
    </row>
    <row r="35" spans="1:22" s="2" customFormat="1" x14ac:dyDescent="0.2">
      <c r="A35" s="31"/>
      <c r="B35" s="1" t="s">
        <v>26</v>
      </c>
      <c r="C35" s="149"/>
      <c r="D35" s="157">
        <v>2.140625</v>
      </c>
      <c r="E35" s="157">
        <v>2.140625</v>
      </c>
      <c r="F35" s="157">
        <v>2.140625</v>
      </c>
      <c r="G35" s="157">
        <v>2.140625</v>
      </c>
      <c r="H35" s="291">
        <v>2.140625</v>
      </c>
      <c r="I35" s="12"/>
      <c r="J35" s="12"/>
      <c r="K35" s="12"/>
      <c r="L35" s="12"/>
      <c r="M35" s="12"/>
      <c r="N35" s="12"/>
      <c r="O35" s="12"/>
      <c r="P35" s="12"/>
      <c r="Q35" s="12"/>
      <c r="R35" s="12"/>
      <c r="S35" s="12"/>
      <c r="T35" s="12"/>
      <c r="U35" s="12"/>
      <c r="V35" s="12"/>
    </row>
    <row r="36" spans="1:22" s="2" customFormat="1" x14ac:dyDescent="0.2">
      <c r="A36" s="31"/>
      <c r="B36" s="1" t="s">
        <v>28</v>
      </c>
      <c r="C36" s="149"/>
      <c r="D36" s="157">
        <v>3.6401249999999998</v>
      </c>
      <c r="E36" s="157">
        <v>3.6401249999999998</v>
      </c>
      <c r="F36" s="157">
        <v>3.6401249999999998</v>
      </c>
      <c r="G36" s="157">
        <v>3.6401249999999998</v>
      </c>
      <c r="H36" s="291">
        <v>3.6401249999999998</v>
      </c>
      <c r="I36" s="12"/>
      <c r="J36" s="12"/>
      <c r="K36" s="12"/>
      <c r="L36" s="12"/>
      <c r="M36" s="12"/>
      <c r="N36" s="12"/>
      <c r="O36" s="12"/>
      <c r="P36" s="12"/>
      <c r="Q36" s="12"/>
      <c r="R36" s="12"/>
      <c r="S36" s="12"/>
      <c r="T36" s="12"/>
      <c r="U36" s="12"/>
      <c r="V36" s="12"/>
    </row>
    <row r="37" spans="1:22" s="2" customFormat="1" x14ac:dyDescent="0.2">
      <c r="A37" s="31"/>
      <c r="B37" s="1" t="s">
        <v>29</v>
      </c>
      <c r="C37" s="149"/>
      <c r="D37" s="157">
        <v>2.5185</v>
      </c>
      <c r="E37" s="157">
        <v>2.5185</v>
      </c>
      <c r="F37" s="157">
        <v>2.5185</v>
      </c>
      <c r="G37" s="157">
        <v>2.5185</v>
      </c>
      <c r="H37" s="291">
        <v>2.5185</v>
      </c>
      <c r="I37" s="12"/>
      <c r="J37" s="12"/>
      <c r="K37" s="12"/>
      <c r="L37" s="12"/>
      <c r="M37" s="12"/>
      <c r="N37" s="12"/>
      <c r="O37" s="12"/>
      <c r="P37" s="12"/>
      <c r="Q37" s="12"/>
      <c r="R37" s="12"/>
      <c r="S37" s="12"/>
      <c r="T37" s="12"/>
      <c r="U37" s="12"/>
      <c r="V37" s="12"/>
    </row>
    <row r="38" spans="1:22" s="2" customFormat="1" x14ac:dyDescent="0.2">
      <c r="A38" s="31"/>
      <c r="B38" s="1" t="s">
        <v>30</v>
      </c>
      <c r="C38" s="149"/>
      <c r="D38" s="157">
        <v>4.2</v>
      </c>
      <c r="E38" s="157">
        <v>4.2</v>
      </c>
      <c r="F38" s="157">
        <v>4.2</v>
      </c>
      <c r="G38" s="157">
        <v>4.2</v>
      </c>
      <c r="H38" s="291">
        <v>4.2</v>
      </c>
      <c r="I38" s="12"/>
      <c r="J38" s="12"/>
      <c r="K38" s="12"/>
      <c r="L38" s="12"/>
      <c r="M38" s="12"/>
      <c r="N38" s="12"/>
      <c r="O38" s="12"/>
      <c r="P38" s="12"/>
      <c r="Q38" s="12"/>
      <c r="R38" s="12"/>
      <c r="S38" s="12"/>
      <c r="T38" s="12"/>
      <c r="U38" s="12"/>
      <c r="V38" s="12"/>
    </row>
    <row r="39" spans="1:22" s="2" customFormat="1" x14ac:dyDescent="0.2">
      <c r="A39" s="31"/>
      <c r="B39" s="1" t="s">
        <v>31</v>
      </c>
      <c r="C39" s="149"/>
      <c r="D39" s="157">
        <v>1.769625</v>
      </c>
      <c r="E39" s="157">
        <v>1.769625</v>
      </c>
      <c r="F39" s="157">
        <v>1.769625</v>
      </c>
      <c r="G39" s="157">
        <v>1.769625</v>
      </c>
      <c r="H39" s="291">
        <v>1.769625</v>
      </c>
      <c r="I39" s="12"/>
      <c r="J39" s="12"/>
      <c r="K39" s="12"/>
      <c r="L39" s="12"/>
      <c r="M39" s="12"/>
      <c r="N39" s="12"/>
      <c r="O39" s="12"/>
      <c r="P39" s="12"/>
      <c r="Q39" s="12"/>
      <c r="R39" s="12"/>
      <c r="S39" s="12"/>
      <c r="T39" s="12"/>
      <c r="U39" s="12"/>
      <c r="V39" s="12"/>
    </row>
    <row r="40" spans="1:22" s="2" customFormat="1" x14ac:dyDescent="0.2">
      <c r="A40" s="31"/>
      <c r="B40" s="1" t="s">
        <v>32</v>
      </c>
      <c r="C40" s="149"/>
      <c r="D40" s="157">
        <v>5.8125</v>
      </c>
      <c r="E40" s="157">
        <v>5.8125</v>
      </c>
      <c r="F40" s="157">
        <v>5.8125</v>
      </c>
      <c r="G40" s="157">
        <v>5.8125</v>
      </c>
      <c r="H40" s="291">
        <v>5.8125</v>
      </c>
      <c r="I40" s="12"/>
      <c r="J40" s="12"/>
      <c r="K40" s="12"/>
      <c r="L40" s="12"/>
      <c r="M40" s="12"/>
      <c r="N40" s="12"/>
      <c r="O40" s="12"/>
      <c r="P40" s="12"/>
      <c r="Q40" s="12"/>
      <c r="R40" s="12"/>
      <c r="S40" s="12"/>
      <c r="T40" s="12"/>
      <c r="U40" s="12"/>
      <c r="V40" s="12"/>
    </row>
    <row r="41" spans="1:22" s="2" customFormat="1" x14ac:dyDescent="0.2">
      <c r="A41" s="31"/>
      <c r="B41" s="1" t="s">
        <v>33</v>
      </c>
      <c r="C41" s="149"/>
      <c r="D41" s="157">
        <v>0.265625</v>
      </c>
      <c r="E41" s="157">
        <v>0.265625</v>
      </c>
      <c r="F41" s="157">
        <v>0.265625</v>
      </c>
      <c r="G41" s="157">
        <v>0.265625</v>
      </c>
      <c r="H41" s="291">
        <v>0.265625</v>
      </c>
      <c r="I41" s="12"/>
      <c r="J41" s="12"/>
      <c r="K41" s="12"/>
      <c r="L41" s="12"/>
      <c r="M41" s="12"/>
      <c r="N41" s="12"/>
      <c r="O41" s="12"/>
      <c r="P41" s="12"/>
      <c r="Q41" s="12"/>
      <c r="R41" s="12"/>
      <c r="S41" s="12"/>
      <c r="T41" s="12"/>
      <c r="U41" s="12"/>
      <c r="V41" s="12"/>
    </row>
    <row r="42" spans="1:22" s="2" customFormat="1" x14ac:dyDescent="0.2">
      <c r="A42" s="31"/>
      <c r="B42" s="19" t="s">
        <v>101</v>
      </c>
      <c r="C42" s="149"/>
      <c r="D42" s="157">
        <f>35.6-28.7</f>
        <v>6.9000000000000021</v>
      </c>
      <c r="E42" s="157">
        <f>32.9-30</f>
        <v>2.8999999999999986</v>
      </c>
      <c r="F42" s="157">
        <v>-2.7</v>
      </c>
      <c r="G42" s="157">
        <v>5.47</v>
      </c>
      <c r="H42" s="291"/>
      <c r="I42" s="12"/>
      <c r="J42" s="12"/>
      <c r="K42" s="12"/>
      <c r="L42" s="12"/>
      <c r="M42" s="12"/>
      <c r="N42" s="12"/>
      <c r="O42" s="12"/>
      <c r="P42" s="12"/>
      <c r="Q42" s="12"/>
      <c r="R42" s="12"/>
      <c r="S42" s="12"/>
      <c r="T42" s="12"/>
      <c r="U42" s="12"/>
      <c r="V42" s="12"/>
    </row>
    <row r="43" spans="1:22" s="2" customFormat="1" x14ac:dyDescent="0.2">
      <c r="A43" s="31"/>
      <c r="B43" s="19"/>
      <c r="C43" s="149"/>
      <c r="D43" s="157"/>
      <c r="E43" s="157"/>
      <c r="F43" s="157"/>
      <c r="G43" s="157"/>
      <c r="H43" s="291"/>
      <c r="I43" s="12"/>
      <c r="J43" s="12"/>
      <c r="K43" s="12"/>
      <c r="L43" s="12"/>
      <c r="M43" s="12"/>
      <c r="N43" s="12"/>
      <c r="O43" s="12"/>
      <c r="P43" s="12"/>
      <c r="Q43" s="12"/>
      <c r="R43" s="12"/>
      <c r="S43" s="12"/>
      <c r="T43" s="12"/>
      <c r="U43" s="12"/>
      <c r="V43" s="12"/>
    </row>
    <row r="44" spans="1:22" s="2" customFormat="1" x14ac:dyDescent="0.2">
      <c r="A44" s="31"/>
      <c r="B44" s="19" t="s">
        <v>134</v>
      </c>
      <c r="C44" s="149"/>
      <c r="D44" s="157"/>
      <c r="E44" s="157"/>
      <c r="F44" s="157"/>
      <c r="G44" s="157"/>
      <c r="H44" s="291"/>
      <c r="I44" s="12">
        <f>(+H94-107.5)*(0.0925/4)</f>
        <v>18.493062500000001</v>
      </c>
      <c r="J44" s="12">
        <f t="shared" ref="J44:P44" si="11">(+I94-107.5)*(0.0925/4)</f>
        <v>18.493062500000001</v>
      </c>
      <c r="K44" s="12">
        <f t="shared" si="11"/>
        <v>17.336812500000001</v>
      </c>
      <c r="L44" s="12">
        <f t="shared" si="11"/>
        <v>17.336812500000001</v>
      </c>
      <c r="M44" s="12">
        <f t="shared" si="11"/>
        <v>16.180562500000001</v>
      </c>
      <c r="N44" s="12">
        <f t="shared" si="11"/>
        <v>16.180562500000001</v>
      </c>
      <c r="O44" s="12">
        <f t="shared" si="11"/>
        <v>15.313375000000001</v>
      </c>
      <c r="P44" s="12">
        <f t="shared" si="11"/>
        <v>15.313375000000001</v>
      </c>
      <c r="Q44" s="12">
        <f>(+P94-107.5)*(0.0925)</f>
        <v>57.784750000000003</v>
      </c>
      <c r="R44" s="12">
        <f>(+Q94-107.5)*(0.0925)</f>
        <v>39.416901979866594</v>
      </c>
      <c r="S44" s="12">
        <f>(+R94-107.5)*(0.0925)</f>
        <v>21.484111297783812</v>
      </c>
      <c r="T44" s="12">
        <f>(+S94-107.5)*(0.0925)</f>
        <v>2.3576137841222575</v>
      </c>
      <c r="U44" s="12"/>
      <c r="V44" s="12"/>
    </row>
    <row r="45" spans="1:22" s="2" customFormat="1" x14ac:dyDescent="0.2">
      <c r="A45" s="31"/>
      <c r="B45" s="19" t="s">
        <v>135</v>
      </c>
      <c r="C45" s="149"/>
      <c r="D45" s="157"/>
      <c r="E45" s="157"/>
      <c r="F45" s="157"/>
      <c r="G45" s="157"/>
      <c r="H45" s="291"/>
      <c r="I45" s="12">
        <f>107.5*0.08/4</f>
        <v>2.15</v>
      </c>
      <c r="J45" s="12">
        <f t="shared" ref="J45:P45" si="12">107.5*0.08/4</f>
        <v>2.15</v>
      </c>
      <c r="K45" s="12">
        <f t="shared" si="12"/>
        <v>2.15</v>
      </c>
      <c r="L45" s="12">
        <f t="shared" si="12"/>
        <v>2.15</v>
      </c>
      <c r="M45" s="12">
        <f t="shared" si="12"/>
        <v>2.15</v>
      </c>
      <c r="N45" s="12">
        <f t="shared" si="12"/>
        <v>2.15</v>
      </c>
      <c r="O45" s="12">
        <f t="shared" si="12"/>
        <v>2.15</v>
      </c>
      <c r="P45" s="12">
        <f t="shared" si="12"/>
        <v>2.15</v>
      </c>
      <c r="Q45" s="12">
        <f t="shared" ref="Q45:V45" si="13">107.5*0.08</f>
        <v>8.6</v>
      </c>
      <c r="R45" s="12">
        <f t="shared" si="13"/>
        <v>8.6</v>
      </c>
      <c r="S45" s="12">
        <f t="shared" si="13"/>
        <v>8.6</v>
      </c>
      <c r="T45" s="12">
        <f t="shared" si="13"/>
        <v>8.6</v>
      </c>
      <c r="U45" s="12">
        <f t="shared" si="13"/>
        <v>8.6</v>
      </c>
      <c r="V45" s="12">
        <f t="shared" si="13"/>
        <v>8.6</v>
      </c>
    </row>
    <row r="46" spans="1:22" s="2" customFormat="1" x14ac:dyDescent="0.2">
      <c r="A46" s="31"/>
      <c r="B46" s="19"/>
      <c r="C46" s="149"/>
      <c r="D46" s="157"/>
      <c r="E46" s="157"/>
      <c r="F46" s="157"/>
      <c r="G46" s="157"/>
      <c r="H46" s="291"/>
      <c r="I46" s="12"/>
      <c r="J46" s="12"/>
      <c r="K46" s="12"/>
      <c r="L46" s="12"/>
      <c r="M46" s="12"/>
      <c r="N46" s="12"/>
      <c r="O46" s="12"/>
      <c r="P46" s="12"/>
      <c r="Q46" s="12"/>
      <c r="R46" s="12"/>
      <c r="S46" s="12"/>
      <c r="T46" s="12"/>
      <c r="U46" s="12"/>
      <c r="V46" s="12"/>
    </row>
    <row r="47" spans="1:22" s="2" customFormat="1" x14ac:dyDescent="0.2">
      <c r="A47" s="31" t="s">
        <v>119</v>
      </c>
      <c r="B47" s="19" t="s">
        <v>115</v>
      </c>
      <c r="C47" s="149"/>
      <c r="D47" s="157"/>
      <c r="E47" s="157">
        <v>1.9</v>
      </c>
      <c r="F47" s="157">
        <f>7.4-E47</f>
        <v>5.5</v>
      </c>
      <c r="G47" s="157"/>
      <c r="H47" s="291">
        <v>17.899999999999999</v>
      </c>
      <c r="I47" s="12"/>
      <c r="J47" s="12"/>
      <c r="K47" s="12"/>
      <c r="L47" s="12"/>
      <c r="M47" s="12"/>
      <c r="N47" s="12"/>
      <c r="O47" s="12"/>
      <c r="P47" s="12"/>
      <c r="Q47" s="12"/>
      <c r="R47" s="12"/>
      <c r="S47" s="12"/>
      <c r="T47" s="12"/>
      <c r="U47" s="12"/>
      <c r="V47" s="12"/>
    </row>
    <row r="48" spans="1:22" s="2" customFormat="1" x14ac:dyDescent="0.2">
      <c r="A48" s="31"/>
      <c r="B48" s="25"/>
      <c r="C48" s="149"/>
      <c r="D48" s="157"/>
      <c r="E48" s="157"/>
      <c r="F48" s="157"/>
      <c r="G48" s="157"/>
      <c r="H48" s="291"/>
      <c r="I48" s="12"/>
      <c r="J48" s="12"/>
      <c r="K48" s="12"/>
      <c r="L48" s="12"/>
      <c r="M48" s="12"/>
      <c r="N48" s="12"/>
      <c r="O48" s="12"/>
      <c r="P48" s="12"/>
      <c r="Q48" s="12"/>
      <c r="R48" s="12"/>
      <c r="S48" s="12"/>
      <c r="T48" s="12"/>
      <c r="U48" s="12"/>
      <c r="V48" s="12"/>
    </row>
    <row r="49" spans="1:22" s="2" customFormat="1" x14ac:dyDescent="0.2">
      <c r="A49" s="31"/>
      <c r="B49" s="25" t="s">
        <v>117</v>
      </c>
      <c r="C49" s="149"/>
      <c r="D49" s="157">
        <v>27.3</v>
      </c>
      <c r="E49" s="192">
        <v>29.8</v>
      </c>
      <c r="F49" s="157">
        <v>31.7</v>
      </c>
      <c r="G49" s="157">
        <v>5.6</v>
      </c>
      <c r="H49" s="291">
        <f>63.5-(E49+F49+G49)</f>
        <v>-3.5999999999999943</v>
      </c>
      <c r="I49" s="12">
        <v>15</v>
      </c>
      <c r="J49" s="12">
        <f t="shared" ref="J49:P49" si="14">+I49</f>
        <v>15</v>
      </c>
      <c r="K49" s="12">
        <f t="shared" si="14"/>
        <v>15</v>
      </c>
      <c r="L49" s="12">
        <f t="shared" si="14"/>
        <v>15</v>
      </c>
      <c r="M49" s="12">
        <v>20</v>
      </c>
      <c r="N49" s="12">
        <f t="shared" si="14"/>
        <v>20</v>
      </c>
      <c r="O49" s="12">
        <f t="shared" si="14"/>
        <v>20</v>
      </c>
      <c r="P49" s="12">
        <f t="shared" si="14"/>
        <v>20</v>
      </c>
      <c r="Q49" s="12">
        <f>+P49*4</f>
        <v>80</v>
      </c>
      <c r="R49" s="12">
        <f>+Q49</f>
        <v>80</v>
      </c>
      <c r="S49" s="12">
        <f>+R49</f>
        <v>80</v>
      </c>
      <c r="T49" s="12">
        <f>+S49</f>
        <v>80</v>
      </c>
      <c r="U49" s="12">
        <f>+T49</f>
        <v>80</v>
      </c>
      <c r="V49" s="12">
        <f>+U49</f>
        <v>80</v>
      </c>
    </row>
    <row r="50" spans="1:22" s="2" customFormat="1" x14ac:dyDescent="0.2">
      <c r="A50" s="31"/>
      <c r="C50" s="149"/>
      <c r="D50" s="157"/>
      <c r="E50" s="157"/>
      <c r="F50" s="157"/>
      <c r="G50" s="157"/>
      <c r="H50" s="291"/>
      <c r="I50" s="12"/>
      <c r="J50" s="12"/>
      <c r="K50" s="12"/>
      <c r="L50" s="12"/>
      <c r="M50" s="12"/>
      <c r="N50" s="12"/>
      <c r="O50" s="12"/>
      <c r="P50" s="12"/>
      <c r="Q50" s="12"/>
      <c r="R50" s="12"/>
      <c r="S50" s="12"/>
      <c r="T50" s="12"/>
      <c r="U50" s="12"/>
      <c r="V50" s="12"/>
    </row>
    <row r="51" spans="1:22" s="2" customFormat="1" x14ac:dyDescent="0.2">
      <c r="A51" s="31"/>
      <c r="B51" s="25" t="s">
        <v>71</v>
      </c>
      <c r="C51" s="149"/>
      <c r="D51" s="157">
        <v>14.7</v>
      </c>
      <c r="E51" s="157">
        <v>8.1999999999999993</v>
      </c>
      <c r="F51" s="157">
        <f>16.9-E51</f>
        <v>8.6999999999999993</v>
      </c>
      <c r="G51" s="157">
        <f>-SUM(E51:F51)+24.8</f>
        <v>7.9000000000000021</v>
      </c>
      <c r="H51" s="291">
        <v>15.4</v>
      </c>
      <c r="I51" s="12">
        <f t="shared" ref="I51:P51" si="15">+H51</f>
        <v>15.4</v>
      </c>
      <c r="J51" s="12">
        <f t="shared" si="15"/>
        <v>15.4</v>
      </c>
      <c r="K51" s="12">
        <f t="shared" si="15"/>
        <v>15.4</v>
      </c>
      <c r="L51" s="12">
        <f t="shared" si="15"/>
        <v>15.4</v>
      </c>
      <c r="M51" s="12">
        <f t="shared" si="15"/>
        <v>15.4</v>
      </c>
      <c r="N51" s="12">
        <f t="shared" si="15"/>
        <v>15.4</v>
      </c>
      <c r="O51" s="12">
        <f t="shared" si="15"/>
        <v>15.4</v>
      </c>
      <c r="P51" s="12">
        <f t="shared" si="15"/>
        <v>15.4</v>
      </c>
      <c r="Q51" s="12">
        <f>+P51*4</f>
        <v>61.6</v>
      </c>
      <c r="R51" s="12">
        <f>+Q51</f>
        <v>61.6</v>
      </c>
      <c r="S51" s="12">
        <f>+R51</f>
        <v>61.6</v>
      </c>
      <c r="T51" s="12">
        <f>+S51</f>
        <v>61.6</v>
      </c>
      <c r="U51" s="12">
        <f>+T51</f>
        <v>61.6</v>
      </c>
      <c r="V51" s="12">
        <f>+U51</f>
        <v>61.6</v>
      </c>
    </row>
    <row r="52" spans="1:22" s="2" customFormat="1" x14ac:dyDescent="0.2">
      <c r="A52" s="31" t="s">
        <v>119</v>
      </c>
      <c r="B52" s="25" t="s">
        <v>116</v>
      </c>
      <c r="C52" s="149"/>
      <c r="D52" s="157">
        <v>0</v>
      </c>
      <c r="E52" s="157">
        <v>13.036</v>
      </c>
      <c r="F52" s="157">
        <v>0</v>
      </c>
      <c r="G52" s="157">
        <v>3.6</v>
      </c>
      <c r="H52" s="291">
        <f>14.526-E52-F52-G52</f>
        <v>-2.11</v>
      </c>
      <c r="I52" s="27">
        <v>13</v>
      </c>
      <c r="J52" s="12">
        <v>0</v>
      </c>
      <c r="K52" s="12">
        <v>0</v>
      </c>
      <c r="L52" s="12">
        <v>0</v>
      </c>
      <c r="M52" s="27">
        <v>13</v>
      </c>
      <c r="N52" s="12">
        <v>0</v>
      </c>
      <c r="O52" s="12">
        <v>0</v>
      </c>
      <c r="P52" s="12">
        <v>0</v>
      </c>
      <c r="Q52" s="27">
        <v>13</v>
      </c>
      <c r="R52" s="27">
        <v>13</v>
      </c>
      <c r="S52" s="12">
        <v>0</v>
      </c>
      <c r="T52" s="12">
        <v>0</v>
      </c>
      <c r="U52" s="12">
        <v>0</v>
      </c>
      <c r="V52" s="12">
        <v>0</v>
      </c>
    </row>
    <row r="53" spans="1:22" s="2" customFormat="1" x14ac:dyDescent="0.2">
      <c r="A53" s="31" t="s">
        <v>119</v>
      </c>
      <c r="B53" s="25" t="s">
        <v>118</v>
      </c>
      <c r="C53" s="149"/>
      <c r="D53" s="157"/>
      <c r="E53" s="157">
        <f>42.736+(315.3-310.1)</f>
        <v>47.935999999999986</v>
      </c>
      <c r="F53" s="157">
        <f>30.4-E53-0.7</f>
        <v>-18.235999999999986</v>
      </c>
      <c r="G53" s="157">
        <f>-SUM(E53:F53)+43.577</f>
        <v>13.876999999999999</v>
      </c>
      <c r="H53" s="291">
        <f>14.529-E53-F53-G53</f>
        <v>-29.047999999999995</v>
      </c>
      <c r="I53" s="12"/>
      <c r="J53" s="12"/>
      <c r="K53" s="12"/>
      <c r="L53" s="12"/>
      <c r="M53" s="12"/>
      <c r="N53" s="12"/>
      <c r="O53" s="12"/>
      <c r="P53" s="12"/>
      <c r="Q53" s="12"/>
      <c r="R53" s="12"/>
      <c r="S53" s="12"/>
      <c r="T53" s="12"/>
      <c r="U53" s="12"/>
      <c r="V53" s="12"/>
    </row>
    <row r="54" spans="1:22" s="2" customFormat="1" x14ac:dyDescent="0.2">
      <c r="A54" s="31"/>
      <c r="B54" s="25"/>
      <c r="C54" s="149"/>
      <c r="D54" s="157"/>
      <c r="E54" s="157"/>
      <c r="F54" s="157"/>
      <c r="G54" s="157"/>
      <c r="H54" s="291"/>
      <c r="I54" s="12"/>
      <c r="J54" s="12"/>
      <c r="K54" s="12"/>
      <c r="L54" s="12"/>
      <c r="M54" s="12"/>
      <c r="N54" s="12"/>
      <c r="O54" s="12"/>
      <c r="P54" s="12"/>
      <c r="Q54" s="12"/>
      <c r="R54" s="12"/>
      <c r="S54" s="12"/>
      <c r="T54" s="12"/>
      <c r="U54" s="12"/>
      <c r="V54" s="12"/>
    </row>
    <row r="55" spans="1:22" s="2" customFormat="1" x14ac:dyDescent="0.2">
      <c r="A55" s="31"/>
      <c r="B55" s="25" t="s">
        <v>132</v>
      </c>
      <c r="C55" s="149"/>
      <c r="D55" s="157"/>
      <c r="E55" s="157"/>
      <c r="F55" s="157"/>
      <c r="G55" s="157">
        <v>26.8</v>
      </c>
      <c r="H55" s="291">
        <v>-21.2</v>
      </c>
      <c r="I55" s="12"/>
      <c r="J55" s="12"/>
      <c r="K55" s="12"/>
      <c r="L55" s="12"/>
      <c r="M55" s="12"/>
      <c r="N55" s="12"/>
      <c r="O55" s="12"/>
      <c r="P55" s="12"/>
      <c r="Q55" s="12"/>
      <c r="R55" s="12"/>
      <c r="S55" s="12"/>
      <c r="T55" s="12"/>
      <c r="U55" s="12"/>
      <c r="V55" s="12"/>
    </row>
    <row r="56" spans="1:22" s="2" customFormat="1" x14ac:dyDescent="0.2">
      <c r="A56" s="31"/>
      <c r="B56" s="25" t="s">
        <v>131</v>
      </c>
      <c r="C56" s="149"/>
      <c r="D56" s="157"/>
      <c r="E56" s="157"/>
      <c r="F56" s="157"/>
      <c r="G56" s="157">
        <v>16.305</v>
      </c>
      <c r="H56" s="291">
        <f>63-G56</f>
        <v>46.695</v>
      </c>
      <c r="I56" s="12"/>
      <c r="J56" s="12"/>
      <c r="K56" s="12"/>
      <c r="L56" s="12"/>
      <c r="M56" s="12"/>
      <c r="N56" s="12"/>
      <c r="O56" s="12"/>
      <c r="P56" s="12"/>
      <c r="Q56" s="12"/>
      <c r="R56" s="12"/>
      <c r="S56" s="12"/>
      <c r="T56" s="12"/>
      <c r="U56" s="12"/>
      <c r="V56" s="12"/>
    </row>
    <row r="57" spans="1:22" s="2" customFormat="1" x14ac:dyDescent="0.2">
      <c r="A57" s="31"/>
      <c r="B57" s="25" t="s">
        <v>102</v>
      </c>
      <c r="C57" s="149"/>
      <c r="D57" s="157">
        <v>2.9</v>
      </c>
      <c r="E57" s="157">
        <v>0</v>
      </c>
      <c r="F57" s="157"/>
      <c r="G57" s="157"/>
      <c r="H57" s="291"/>
      <c r="I57" s="12"/>
      <c r="J57" s="12"/>
      <c r="K57" s="12"/>
      <c r="L57" s="12"/>
      <c r="M57" s="12"/>
      <c r="N57" s="12"/>
      <c r="O57" s="12"/>
      <c r="P57" s="12"/>
      <c r="Q57" s="12"/>
      <c r="R57" s="12"/>
      <c r="S57" s="12"/>
      <c r="T57" s="12"/>
      <c r="U57" s="12"/>
      <c r="V57" s="12"/>
    </row>
    <row r="58" spans="1:22" s="2" customFormat="1" x14ac:dyDescent="0.2">
      <c r="A58" s="31"/>
      <c r="B58" s="2" t="s">
        <v>103</v>
      </c>
      <c r="C58" s="149"/>
      <c r="D58" s="157">
        <v>0.5</v>
      </c>
      <c r="E58" s="157"/>
      <c r="F58" s="157"/>
      <c r="G58" s="157">
        <v>-1.6</v>
      </c>
      <c r="H58" s="291"/>
      <c r="I58" s="12"/>
      <c r="J58" s="12"/>
      <c r="K58" s="12"/>
      <c r="L58" s="12"/>
      <c r="M58" s="12"/>
      <c r="N58" s="12"/>
      <c r="O58" s="12"/>
      <c r="P58" s="12"/>
      <c r="Q58" s="12"/>
      <c r="R58" s="12"/>
      <c r="S58" s="12"/>
      <c r="T58" s="12"/>
      <c r="U58" s="12"/>
      <c r="V58" s="12"/>
    </row>
    <row r="59" spans="1:22" s="2" customFormat="1" x14ac:dyDescent="0.2">
      <c r="A59" s="31"/>
      <c r="B59" s="25" t="s">
        <v>19</v>
      </c>
      <c r="C59" s="150" t="s">
        <v>107</v>
      </c>
      <c r="D59" s="157">
        <v>10</v>
      </c>
      <c r="E59" s="157">
        <v>0</v>
      </c>
      <c r="F59" s="157">
        <v>0</v>
      </c>
      <c r="G59" s="157">
        <f t="shared" ref="G59:P59" si="16">+F59</f>
        <v>0</v>
      </c>
      <c r="H59" s="291">
        <f t="shared" si="16"/>
        <v>0</v>
      </c>
      <c r="I59" s="12">
        <f t="shared" si="16"/>
        <v>0</v>
      </c>
      <c r="J59" s="12">
        <f t="shared" si="16"/>
        <v>0</v>
      </c>
      <c r="K59" s="12">
        <f t="shared" si="16"/>
        <v>0</v>
      </c>
      <c r="L59" s="12">
        <f t="shared" si="16"/>
        <v>0</v>
      </c>
      <c r="M59" s="12">
        <f t="shared" si="16"/>
        <v>0</v>
      </c>
      <c r="N59" s="12">
        <f t="shared" si="16"/>
        <v>0</v>
      </c>
      <c r="O59" s="12">
        <f t="shared" si="16"/>
        <v>0</v>
      </c>
      <c r="P59" s="12">
        <f t="shared" si="16"/>
        <v>0</v>
      </c>
      <c r="Q59" s="12">
        <f>+P59*4</f>
        <v>0</v>
      </c>
      <c r="R59" s="12">
        <f>+Q59</f>
        <v>0</v>
      </c>
      <c r="S59" s="12">
        <f>+R59</f>
        <v>0</v>
      </c>
      <c r="T59" s="12">
        <f>+S59</f>
        <v>0</v>
      </c>
      <c r="U59" s="12">
        <f>+T59</f>
        <v>0</v>
      </c>
      <c r="V59" s="12">
        <f>+U59</f>
        <v>0</v>
      </c>
    </row>
    <row r="60" spans="1:22" s="2" customFormat="1" x14ac:dyDescent="0.2">
      <c r="A60" s="31"/>
      <c r="C60" s="150"/>
      <c r="D60" s="13"/>
      <c r="E60" s="13"/>
      <c r="F60" s="13"/>
      <c r="G60" s="13"/>
      <c r="H60" s="296"/>
      <c r="I60" s="13"/>
      <c r="J60" s="13"/>
      <c r="K60" s="13"/>
      <c r="L60" s="13"/>
      <c r="M60" s="13"/>
      <c r="N60" s="13"/>
      <c r="O60" s="13"/>
      <c r="P60" s="13"/>
      <c r="Q60" s="13"/>
      <c r="R60" s="13"/>
      <c r="S60" s="13"/>
      <c r="T60" s="13"/>
      <c r="U60" s="13"/>
      <c r="V60" s="13"/>
    </row>
    <row r="61" spans="1:22" s="26" customFormat="1" x14ac:dyDescent="0.2">
      <c r="A61" s="32" t="s">
        <v>40</v>
      </c>
      <c r="B61" s="25" t="s">
        <v>21</v>
      </c>
      <c r="C61" s="151"/>
      <c r="D61" s="38">
        <f>SUM(D28:D60)</f>
        <v>90.959500000000006</v>
      </c>
      <c r="E61" s="38">
        <f>SUM(E28:E60)</f>
        <v>133.80549999999999</v>
      </c>
      <c r="F61" s="38">
        <f t="shared" ref="F61:R61" si="17">SUM(F28:F60)</f>
        <v>54.710000000000022</v>
      </c>
      <c r="G61" s="38">
        <f t="shared" si="17"/>
        <v>107.41050000000001</v>
      </c>
      <c r="H61" s="295">
        <f t="shared" si="17"/>
        <v>53.208000000000013</v>
      </c>
      <c r="I61" s="27">
        <f t="shared" si="17"/>
        <v>64.043062499999991</v>
      </c>
      <c r="J61" s="27">
        <f t="shared" si="17"/>
        <v>51.043062499999998</v>
      </c>
      <c r="K61" s="27">
        <f t="shared" si="17"/>
        <v>49.886812499999998</v>
      </c>
      <c r="L61" s="27">
        <f t="shared" si="17"/>
        <v>49.886812499999998</v>
      </c>
      <c r="M61" s="27">
        <f t="shared" si="17"/>
        <v>66.730562499999991</v>
      </c>
      <c r="N61" s="27">
        <f t="shared" si="17"/>
        <v>53.730562499999998</v>
      </c>
      <c r="O61" s="27">
        <f t="shared" si="17"/>
        <v>52.863374999999998</v>
      </c>
      <c r="P61" s="27">
        <f t="shared" si="17"/>
        <v>52.863374999999998</v>
      </c>
      <c r="Q61" s="27">
        <f t="shared" si="17"/>
        <v>220.98474999999999</v>
      </c>
      <c r="R61" s="27">
        <f t="shared" si="17"/>
        <v>202.61690197986658</v>
      </c>
      <c r="S61" s="27">
        <f>SUM(S28:S60)</f>
        <v>171.6841112977838</v>
      </c>
      <c r="T61" s="27">
        <f>SUM(T28:T60)</f>
        <v>152.55761378412225</v>
      </c>
      <c r="U61" s="27">
        <f>SUM(U28:U60)</f>
        <v>150.19999999999999</v>
      </c>
      <c r="V61" s="27">
        <f>SUM(V28:V60)</f>
        <v>150.19999999999999</v>
      </c>
    </row>
    <row r="62" spans="1:22" s="26" customFormat="1" x14ac:dyDescent="0.2">
      <c r="A62" s="32"/>
      <c r="B62" s="25"/>
      <c r="C62" s="151"/>
      <c r="D62" s="38"/>
      <c r="E62" s="38"/>
      <c r="F62" s="38"/>
      <c r="G62" s="38"/>
      <c r="H62" s="295"/>
      <c r="I62" s="27"/>
      <c r="J62" s="27"/>
      <c r="K62" s="27"/>
      <c r="L62" s="27"/>
      <c r="M62" s="27"/>
      <c r="N62" s="27"/>
      <c r="O62" s="27"/>
      <c r="P62" s="27"/>
      <c r="Q62" s="27"/>
      <c r="R62" s="27"/>
      <c r="S62" s="27"/>
      <c r="T62" s="27"/>
      <c r="U62" s="27"/>
      <c r="V62" s="27"/>
    </row>
    <row r="63" spans="1:22" s="26" customFormat="1" x14ac:dyDescent="0.2">
      <c r="A63" s="32"/>
      <c r="B63" s="3" t="s">
        <v>35</v>
      </c>
      <c r="C63" s="145"/>
      <c r="D63" s="157">
        <v>52</v>
      </c>
      <c r="E63" s="38"/>
      <c r="F63" s="38"/>
      <c r="G63" s="38"/>
      <c r="H63" s="295">
        <v>-275</v>
      </c>
      <c r="I63" s="27"/>
      <c r="J63" s="27"/>
      <c r="K63" s="27"/>
      <c r="L63" s="27"/>
      <c r="M63" s="27"/>
      <c r="N63" s="27"/>
      <c r="O63" s="27"/>
      <c r="P63" s="27"/>
      <c r="Q63" s="27"/>
      <c r="R63" s="27"/>
      <c r="S63" s="27"/>
      <c r="T63" s="27"/>
      <c r="U63" s="27"/>
      <c r="V63" s="27"/>
    </row>
    <row r="64" spans="1:22" s="2" customFormat="1" x14ac:dyDescent="0.2">
      <c r="A64" s="31"/>
      <c r="B64" s="3" t="s">
        <v>54</v>
      </c>
      <c r="C64" s="145"/>
      <c r="D64" s="157">
        <v>72</v>
      </c>
      <c r="E64" s="157"/>
      <c r="F64" s="13"/>
      <c r="G64" s="157"/>
      <c r="H64" s="296"/>
      <c r="I64" s="13"/>
      <c r="J64" s="13"/>
      <c r="K64" s="13"/>
      <c r="L64" s="13"/>
      <c r="M64" s="13"/>
      <c r="N64" s="13"/>
      <c r="O64" s="13"/>
      <c r="P64" s="13"/>
      <c r="Q64" s="13"/>
      <c r="R64" s="13"/>
      <c r="S64" s="13"/>
      <c r="T64" s="13"/>
      <c r="U64" s="13"/>
      <c r="V64" s="13"/>
    </row>
    <row r="65" spans="1:22" s="26" customFormat="1" ht="13.5" thickBot="1" x14ac:dyDescent="0.25">
      <c r="A65" s="32" t="s">
        <v>41</v>
      </c>
      <c r="B65" s="25" t="s">
        <v>43</v>
      </c>
      <c r="C65" s="152" t="s">
        <v>44</v>
      </c>
      <c r="D65" s="33">
        <f>+D23-D61+D64+D63</f>
        <v>180.15050000000002</v>
      </c>
      <c r="E65" s="142">
        <f t="shared" ref="E65:V65" si="18">+E23-E61</f>
        <v>12.194500000000005</v>
      </c>
      <c r="F65" s="142">
        <f t="shared" si="18"/>
        <v>90.489999999999966</v>
      </c>
      <c r="G65" s="142">
        <f t="shared" si="18"/>
        <v>30.389499999999998</v>
      </c>
      <c r="H65" s="243">
        <f>SUM(H61:H64)</f>
        <v>-221.79199999999997</v>
      </c>
      <c r="I65" s="246">
        <f t="shared" si="18"/>
        <v>71.443574250000012</v>
      </c>
      <c r="J65" s="246">
        <f t="shared" si="18"/>
        <v>81.085252868874989</v>
      </c>
      <c r="K65" s="246">
        <f t="shared" si="18"/>
        <v>79.139566816510694</v>
      </c>
      <c r="L65" s="246">
        <f t="shared" si="18"/>
        <v>76.970829152090346</v>
      </c>
      <c r="M65" s="252">
        <f t="shared" si="18"/>
        <v>58.132705462978407</v>
      </c>
      <c r="N65" s="252">
        <f t="shared" si="18"/>
        <v>69.306799873417901</v>
      </c>
      <c r="O65" s="252">
        <f t="shared" si="18"/>
        <v>68.510953389316342</v>
      </c>
      <c r="P65" s="252">
        <f t="shared" si="18"/>
        <v>67.005481624622632</v>
      </c>
      <c r="Q65" s="277">
        <f t="shared" si="18"/>
        <v>258.49067649849053</v>
      </c>
      <c r="R65" s="142">
        <f t="shared" si="18"/>
        <v>275.69726145818458</v>
      </c>
      <c r="S65" s="277">
        <f t="shared" si="18"/>
        <v>326.61035125603269</v>
      </c>
      <c r="T65" s="142">
        <f t="shared" si="18"/>
        <v>383.20890386480812</v>
      </c>
      <c r="U65" s="277">
        <f t="shared" si="18"/>
        <v>439.37511386609941</v>
      </c>
      <c r="V65" s="142">
        <f t="shared" si="18"/>
        <v>501.25499951584385</v>
      </c>
    </row>
    <row r="66" spans="1:22" s="26" customFormat="1" ht="13.5" thickTop="1" x14ac:dyDescent="0.2">
      <c r="A66" s="32"/>
      <c r="B66" s="25"/>
      <c r="C66" s="152"/>
      <c r="D66" s="38"/>
      <c r="E66" s="38"/>
      <c r="F66" s="38"/>
      <c r="G66" s="38"/>
      <c r="H66" s="295"/>
      <c r="I66" s="38"/>
      <c r="J66" s="38"/>
      <c r="K66" s="38"/>
      <c r="L66" s="38"/>
      <c r="M66" s="38"/>
      <c r="N66" s="38"/>
      <c r="O66" s="38"/>
      <c r="P66" s="38"/>
      <c r="Q66" s="38"/>
      <c r="R66" s="38"/>
      <c r="S66" s="38"/>
      <c r="T66" s="38"/>
      <c r="U66" s="38"/>
      <c r="V66" s="38"/>
    </row>
    <row r="67" spans="1:22" s="26" customFormat="1" x14ac:dyDescent="0.2">
      <c r="A67" s="32"/>
      <c r="B67" s="25" t="s">
        <v>136</v>
      </c>
      <c r="C67" s="152"/>
      <c r="D67" s="38"/>
      <c r="E67" s="38"/>
      <c r="F67" s="38"/>
      <c r="G67" s="38"/>
      <c r="H67" s="295">
        <f>-974.2-25</f>
        <v>-999.2</v>
      </c>
      <c r="I67" s="38"/>
      <c r="J67" s="38"/>
      <c r="K67" s="38"/>
      <c r="L67" s="38"/>
      <c r="M67" s="38"/>
      <c r="N67" s="38"/>
      <c r="O67" s="38"/>
      <c r="P67" s="38"/>
      <c r="Q67" s="38"/>
      <c r="R67" s="38"/>
      <c r="S67" s="38"/>
      <c r="T67" s="38"/>
      <c r="U67" s="38"/>
      <c r="V67" s="38"/>
    </row>
    <row r="68" spans="1:22" s="26" customFormat="1" x14ac:dyDescent="0.2">
      <c r="A68" s="32"/>
      <c r="B68" s="25"/>
      <c r="C68" s="152"/>
      <c r="D68" s="38"/>
      <c r="E68" s="38"/>
      <c r="F68" s="38"/>
      <c r="G68" s="38"/>
      <c r="H68" s="295"/>
      <c r="I68" s="38"/>
      <c r="J68" s="38"/>
      <c r="K68" s="38"/>
      <c r="L68" s="38"/>
      <c r="M68" s="38"/>
      <c r="N68" s="38"/>
      <c r="O68" s="38"/>
      <c r="P68" s="38"/>
      <c r="Q68" s="38"/>
      <c r="R68" s="38"/>
      <c r="S68" s="38"/>
      <c r="T68" s="38"/>
      <c r="U68" s="38"/>
      <c r="V68" s="38"/>
    </row>
    <row r="69" spans="1:22" s="26" customFormat="1" x14ac:dyDescent="0.2">
      <c r="A69" s="32"/>
      <c r="B69" s="25"/>
      <c r="C69" s="152"/>
      <c r="D69" s="38"/>
      <c r="E69" s="38"/>
      <c r="F69" s="38"/>
      <c r="G69" s="38"/>
      <c r="H69" s="295"/>
      <c r="I69" s="38"/>
      <c r="J69" s="38"/>
      <c r="K69" s="38"/>
      <c r="L69" s="38"/>
      <c r="M69" s="38"/>
      <c r="N69" s="38"/>
      <c r="O69" s="38"/>
      <c r="P69" s="38"/>
      <c r="Q69" s="38"/>
      <c r="R69" s="38"/>
      <c r="S69" s="38"/>
      <c r="T69" s="38"/>
      <c r="U69" s="38"/>
      <c r="V69" s="38"/>
    </row>
    <row r="70" spans="1:22" s="2" customFormat="1" x14ac:dyDescent="0.2">
      <c r="A70" s="31"/>
      <c r="B70" s="3"/>
      <c r="C70" s="145"/>
      <c r="D70" s="157"/>
      <c r="E70" s="157"/>
      <c r="F70" s="157"/>
      <c r="G70" s="157"/>
      <c r="H70" s="291"/>
      <c r="I70" s="12"/>
      <c r="J70" s="12"/>
      <c r="K70" s="12"/>
      <c r="L70" s="12"/>
      <c r="M70" s="12"/>
      <c r="N70" s="12"/>
      <c r="O70" s="12"/>
      <c r="P70" s="12"/>
      <c r="Q70" s="12"/>
      <c r="R70" s="12"/>
      <c r="S70" s="12"/>
      <c r="T70" s="12"/>
      <c r="U70" s="12"/>
      <c r="V70" s="12"/>
    </row>
    <row r="71" spans="1:22" x14ac:dyDescent="0.2">
      <c r="B71" s="54" t="s">
        <v>22</v>
      </c>
      <c r="C71" s="4"/>
      <c r="D71" s="158"/>
      <c r="E71" s="193"/>
      <c r="F71" s="193"/>
      <c r="G71" s="193"/>
      <c r="H71" s="297"/>
      <c r="I71" s="14"/>
      <c r="J71" s="14"/>
      <c r="K71" s="14"/>
      <c r="L71" s="14"/>
      <c r="M71" s="14"/>
      <c r="N71" s="14"/>
      <c r="O71" s="14"/>
      <c r="P71" s="14"/>
      <c r="Q71" s="14"/>
      <c r="R71" s="14"/>
      <c r="S71" s="14"/>
      <c r="T71" s="14"/>
      <c r="U71" s="14"/>
      <c r="V71" s="14"/>
    </row>
    <row r="72" spans="1:22" x14ac:dyDescent="0.2">
      <c r="A72" s="17" t="s">
        <v>42</v>
      </c>
      <c r="B72" s="1" t="s">
        <v>87</v>
      </c>
      <c r="C72" s="153">
        <v>250</v>
      </c>
      <c r="D72" s="158">
        <v>45</v>
      </c>
      <c r="E72" s="193">
        <v>25</v>
      </c>
      <c r="F72" s="193">
        <v>25</v>
      </c>
      <c r="G72" s="193">
        <v>25</v>
      </c>
      <c r="H72" s="297">
        <v>130</v>
      </c>
      <c r="I72" s="12"/>
      <c r="J72" s="14"/>
      <c r="K72" s="14"/>
      <c r="L72" s="14"/>
      <c r="M72" s="14"/>
      <c r="N72" s="14"/>
      <c r="O72" s="14"/>
      <c r="P72" s="14"/>
      <c r="Q72" s="14"/>
      <c r="R72" s="14"/>
      <c r="S72" s="14"/>
      <c r="T72" s="14"/>
      <c r="U72" s="14"/>
      <c r="V72" s="14"/>
    </row>
    <row r="73" spans="1:22" x14ac:dyDescent="0.2">
      <c r="A73" s="17" t="s">
        <v>42</v>
      </c>
      <c r="B73" s="1" t="s">
        <v>88</v>
      </c>
      <c r="C73" s="153">
        <v>16</v>
      </c>
      <c r="D73" s="158">
        <v>16</v>
      </c>
      <c r="E73" s="194">
        <v>-239</v>
      </c>
      <c r="F73" s="193"/>
      <c r="G73" s="193"/>
      <c r="H73" s="297">
        <v>239</v>
      </c>
      <c r="I73" s="12"/>
      <c r="J73" s="14"/>
      <c r="K73" s="14"/>
      <c r="L73" s="14"/>
      <c r="M73" s="14"/>
      <c r="N73" s="14"/>
      <c r="O73" s="14"/>
      <c r="P73" s="14"/>
      <c r="Q73" s="14"/>
      <c r="R73" s="14"/>
      <c r="S73" s="14"/>
      <c r="T73" s="14"/>
      <c r="U73" s="14"/>
      <c r="V73" s="14"/>
    </row>
    <row r="74" spans="1:22" x14ac:dyDescent="0.2">
      <c r="A74" s="17" t="s">
        <v>42</v>
      </c>
      <c r="B74" s="1" t="s">
        <v>25</v>
      </c>
      <c r="C74" s="153">
        <v>35</v>
      </c>
      <c r="D74" s="158">
        <v>35</v>
      </c>
      <c r="E74" s="193"/>
      <c r="F74" s="193"/>
      <c r="G74" s="193"/>
      <c r="H74" s="297"/>
      <c r="I74" s="14"/>
      <c r="J74" s="14"/>
      <c r="K74" s="14"/>
      <c r="L74" s="14"/>
      <c r="M74" s="14"/>
      <c r="N74" s="14"/>
      <c r="O74" s="14"/>
      <c r="P74" s="14"/>
      <c r="Q74" s="14"/>
      <c r="R74" s="14"/>
      <c r="S74" s="14"/>
      <c r="T74" s="14"/>
      <c r="U74" s="14"/>
      <c r="V74" s="14"/>
    </row>
    <row r="75" spans="1:22" x14ac:dyDescent="0.2">
      <c r="A75" s="17"/>
      <c r="B75" s="1" t="s">
        <v>114</v>
      </c>
      <c r="C75" s="153"/>
      <c r="D75" s="158"/>
      <c r="E75" s="193">
        <v>0.3</v>
      </c>
      <c r="F75" s="193"/>
      <c r="G75" s="193"/>
      <c r="H75" s="297"/>
      <c r="I75" s="14"/>
      <c r="J75" s="14"/>
      <c r="K75" s="14"/>
      <c r="L75" s="14"/>
      <c r="M75" s="14"/>
      <c r="N75" s="14"/>
      <c r="O75" s="14"/>
      <c r="P75" s="14"/>
      <c r="Q75" s="14"/>
      <c r="R75" s="14"/>
      <c r="S75" s="14"/>
      <c r="T75" s="14"/>
      <c r="U75" s="14"/>
      <c r="V75" s="14"/>
    </row>
    <row r="76" spans="1:22" ht="13.5" thickBot="1" x14ac:dyDescent="0.25">
      <c r="A76" s="17" t="s">
        <v>42</v>
      </c>
      <c r="B76" s="249" t="s">
        <v>34</v>
      </c>
      <c r="C76" s="154"/>
      <c r="D76" s="158"/>
      <c r="E76" s="193"/>
      <c r="F76" s="193"/>
      <c r="G76" s="193"/>
      <c r="H76" s="297">
        <v>184</v>
      </c>
      <c r="I76" s="14"/>
      <c r="J76" s="14"/>
      <c r="K76" s="14"/>
      <c r="L76" s="14"/>
      <c r="M76" s="14"/>
      <c r="N76" s="14"/>
      <c r="O76" s="14"/>
      <c r="P76" s="14"/>
      <c r="Q76" s="14"/>
      <c r="R76" s="14"/>
      <c r="S76" s="14"/>
      <c r="T76" s="14"/>
      <c r="U76" s="14"/>
      <c r="V76" s="14"/>
    </row>
    <row r="77" spans="1:22" ht="16.5" thickBot="1" x14ac:dyDescent="0.3">
      <c r="A77" s="17"/>
      <c r="B77" s="260" t="s">
        <v>137</v>
      </c>
      <c r="C77" s="154"/>
      <c r="D77" s="158"/>
      <c r="E77" s="193"/>
      <c r="F77" s="193"/>
      <c r="G77" s="193"/>
      <c r="H77" s="261">
        <v>-107.5</v>
      </c>
      <c r="I77" s="14"/>
      <c r="J77" s="14"/>
      <c r="K77" s="14"/>
      <c r="L77" s="14"/>
      <c r="M77" s="14"/>
      <c r="N77" s="14"/>
      <c r="O77" s="14"/>
      <c r="P77" s="14"/>
      <c r="Q77" s="14"/>
      <c r="R77" s="14"/>
      <c r="S77" s="14"/>
      <c r="T77" s="14"/>
      <c r="U77" s="14"/>
      <c r="V77" s="14"/>
    </row>
    <row r="78" spans="1:22" s="267" customFormat="1" ht="16.5" thickBot="1" x14ac:dyDescent="0.3">
      <c r="A78" s="228"/>
      <c r="B78" s="260" t="s">
        <v>138</v>
      </c>
      <c r="C78" s="262"/>
      <c r="D78" s="263"/>
      <c r="E78" s="264"/>
      <c r="F78" s="264"/>
      <c r="G78" s="264"/>
      <c r="H78" s="261">
        <v>-800</v>
      </c>
      <c r="I78" s="266"/>
      <c r="J78" s="266">
        <v>50</v>
      </c>
      <c r="K78" s="266"/>
      <c r="L78" s="266">
        <v>50</v>
      </c>
      <c r="M78" s="266"/>
      <c r="N78" s="266">
        <v>37.5</v>
      </c>
      <c r="O78" s="266"/>
      <c r="P78" s="266">
        <v>37.5</v>
      </c>
      <c r="Q78" s="266">
        <f>(SUM(O65:P65)+(+Q65*0.5))*0.75</f>
        <v>198.57132994738816</v>
      </c>
      <c r="R78" s="266">
        <f>SUM(Q65)*0.75</f>
        <v>193.8680073738679</v>
      </c>
      <c r="S78" s="266">
        <f>SUM(R65)*0.75</f>
        <v>206.77294609363844</v>
      </c>
      <c r="T78" s="266">
        <v>93.5</v>
      </c>
      <c r="U78" s="266">
        <v>0</v>
      </c>
      <c r="V78" s="266">
        <v>0</v>
      </c>
    </row>
    <row r="79" spans="1:22" x14ac:dyDescent="0.2">
      <c r="A79" s="17" t="s">
        <v>42</v>
      </c>
      <c r="B79" s="19" t="s">
        <v>14</v>
      </c>
      <c r="C79" s="153"/>
      <c r="D79" s="158"/>
      <c r="E79" s="193"/>
      <c r="F79" s="193"/>
      <c r="G79" s="193"/>
      <c r="H79" s="297"/>
      <c r="I79" s="14"/>
      <c r="J79" s="14"/>
      <c r="K79" s="14"/>
      <c r="L79" s="14"/>
      <c r="M79" s="14"/>
      <c r="N79" s="14"/>
      <c r="O79" s="14"/>
      <c r="P79" s="14"/>
      <c r="Q79" s="14"/>
      <c r="R79" s="14"/>
      <c r="S79" s="14"/>
      <c r="T79" s="14"/>
      <c r="U79" s="14"/>
      <c r="V79" s="14"/>
    </row>
    <row r="80" spans="1:22" x14ac:dyDescent="0.2">
      <c r="A80" s="17" t="s">
        <v>42</v>
      </c>
      <c r="B80" s="7" t="s">
        <v>27</v>
      </c>
      <c r="C80" s="154">
        <v>130</v>
      </c>
      <c r="D80" s="158"/>
      <c r="E80" s="193"/>
      <c r="F80" s="193"/>
      <c r="G80" s="193"/>
      <c r="H80" s="297">
        <v>130</v>
      </c>
      <c r="I80" s="14"/>
      <c r="J80" s="14"/>
      <c r="K80" s="14"/>
      <c r="L80" s="14"/>
      <c r="M80" s="14"/>
      <c r="N80" s="14"/>
      <c r="O80" s="14"/>
      <c r="P80" s="14"/>
      <c r="Q80" s="14"/>
      <c r="R80" s="14"/>
      <c r="S80" s="14"/>
      <c r="T80" s="14"/>
      <c r="U80" s="14"/>
      <c r="V80" s="14"/>
    </row>
    <row r="81" spans="1:22" x14ac:dyDescent="0.2">
      <c r="A81" s="17" t="s">
        <v>42</v>
      </c>
      <c r="B81" s="1" t="s">
        <v>26</v>
      </c>
      <c r="C81" s="154">
        <v>125</v>
      </c>
      <c r="D81" s="158"/>
      <c r="E81" s="193"/>
      <c r="F81" s="193"/>
      <c r="G81" s="193"/>
      <c r="H81" s="297">
        <v>125</v>
      </c>
      <c r="I81" s="14"/>
      <c r="J81" s="14"/>
      <c r="K81" s="14"/>
      <c r="L81" s="14"/>
      <c r="M81" s="14"/>
      <c r="N81" s="14"/>
      <c r="O81" s="14"/>
      <c r="P81" s="14"/>
      <c r="Q81" s="14"/>
      <c r="R81" s="14"/>
      <c r="S81" s="14"/>
      <c r="T81" s="14"/>
      <c r="U81" s="14"/>
      <c r="V81" s="14"/>
    </row>
    <row r="82" spans="1:22" x14ac:dyDescent="0.2">
      <c r="A82" s="17" t="s">
        <v>42</v>
      </c>
      <c r="B82" s="1" t="s">
        <v>28</v>
      </c>
      <c r="C82" s="154">
        <v>255</v>
      </c>
      <c r="D82" s="158"/>
      <c r="E82" s="193"/>
      <c r="F82" s="193"/>
      <c r="G82" s="193"/>
      <c r="H82" s="297">
        <v>255</v>
      </c>
      <c r="I82" s="14"/>
      <c r="J82" s="14"/>
      <c r="K82" s="14"/>
      <c r="L82" s="14"/>
      <c r="M82" s="14"/>
      <c r="N82" s="14"/>
      <c r="O82" s="14"/>
      <c r="P82" s="14"/>
      <c r="Q82" s="14"/>
      <c r="R82" s="14"/>
      <c r="S82" s="14"/>
      <c r="T82" s="14"/>
      <c r="U82" s="14"/>
      <c r="V82" s="14"/>
    </row>
    <row r="83" spans="1:22" x14ac:dyDescent="0.2">
      <c r="A83" s="17" t="s">
        <v>42</v>
      </c>
      <c r="B83" s="1" t="s">
        <v>29</v>
      </c>
      <c r="C83" s="154">
        <v>138</v>
      </c>
      <c r="D83" s="158"/>
      <c r="E83" s="193"/>
      <c r="F83" s="193"/>
      <c r="G83" s="193"/>
      <c r="H83" s="297">
        <v>138</v>
      </c>
      <c r="I83" s="14"/>
      <c r="J83" s="14"/>
      <c r="K83" s="14"/>
      <c r="L83" s="14"/>
      <c r="M83" s="14"/>
      <c r="N83" s="14"/>
      <c r="O83" s="14"/>
      <c r="P83" s="14"/>
      <c r="Q83" s="14"/>
      <c r="R83" s="14"/>
      <c r="S83" s="14"/>
      <c r="T83" s="14"/>
      <c r="U83" s="14"/>
      <c r="V83" s="14"/>
    </row>
    <row r="84" spans="1:22" x14ac:dyDescent="0.2">
      <c r="A84" s="17" t="s">
        <v>42</v>
      </c>
      <c r="B84" s="1" t="s">
        <v>30</v>
      </c>
      <c r="C84" s="154">
        <v>320</v>
      </c>
      <c r="D84" s="158"/>
      <c r="E84" s="193"/>
      <c r="F84" s="193"/>
      <c r="G84" s="193"/>
      <c r="H84" s="297">
        <v>320</v>
      </c>
      <c r="I84" s="14"/>
      <c r="J84" s="14"/>
      <c r="K84" s="14"/>
      <c r="L84" s="14"/>
      <c r="M84" s="14"/>
      <c r="N84" s="14"/>
      <c r="O84" s="14"/>
      <c r="P84" s="14"/>
      <c r="Q84" s="14"/>
      <c r="R84" s="14"/>
      <c r="S84" s="14"/>
      <c r="T84" s="14"/>
      <c r="U84" s="14"/>
      <c r="V84" s="14"/>
    </row>
    <row r="85" spans="1:22" x14ac:dyDescent="0.2">
      <c r="A85" s="17" t="s">
        <v>42</v>
      </c>
      <c r="B85" s="1" t="s">
        <v>31</v>
      </c>
      <c r="C85" s="154">
        <v>121</v>
      </c>
      <c r="D85" s="158"/>
      <c r="E85" s="193"/>
      <c r="F85" s="193"/>
      <c r="G85" s="193"/>
      <c r="H85" s="297">
        <v>121</v>
      </c>
      <c r="I85" s="14"/>
      <c r="J85" s="14"/>
      <c r="K85" s="14"/>
      <c r="L85" s="14"/>
      <c r="M85" s="14"/>
      <c r="N85" s="14"/>
      <c r="O85" s="14"/>
      <c r="P85" s="14"/>
      <c r="Q85" s="14"/>
      <c r="R85" s="14"/>
      <c r="S85" s="14"/>
      <c r="T85" s="14"/>
      <c r="U85" s="14"/>
      <c r="V85" s="14"/>
    </row>
    <row r="86" spans="1:22" x14ac:dyDescent="0.2">
      <c r="A86" s="17" t="s">
        <v>42</v>
      </c>
      <c r="B86" s="1" t="s">
        <v>32</v>
      </c>
      <c r="C86" s="154">
        <v>300</v>
      </c>
      <c r="D86" s="158"/>
      <c r="E86" s="193"/>
      <c r="F86" s="193"/>
      <c r="G86" s="193"/>
      <c r="H86" s="297">
        <v>300</v>
      </c>
      <c r="I86" s="14"/>
      <c r="J86" s="14"/>
      <c r="K86" s="14"/>
      <c r="L86" s="14"/>
      <c r="M86" s="14"/>
      <c r="N86" s="14"/>
      <c r="O86" s="14"/>
      <c r="P86" s="14"/>
      <c r="Q86" s="14"/>
      <c r="R86" s="14"/>
      <c r="S86" s="14"/>
      <c r="T86" s="14"/>
      <c r="U86" s="14"/>
      <c r="V86" s="14"/>
    </row>
    <row r="87" spans="1:22" x14ac:dyDescent="0.2">
      <c r="A87" s="17" t="s">
        <v>42</v>
      </c>
      <c r="B87" s="1" t="s">
        <v>33</v>
      </c>
      <c r="C87" s="154">
        <v>17</v>
      </c>
      <c r="D87" s="158"/>
      <c r="E87" s="193"/>
      <c r="F87" s="193"/>
      <c r="G87" s="193"/>
      <c r="H87" s="297">
        <v>17</v>
      </c>
      <c r="I87" s="14"/>
      <c r="J87" s="14"/>
      <c r="K87" s="14"/>
      <c r="L87" s="14"/>
      <c r="M87" s="14"/>
      <c r="N87" s="14"/>
      <c r="O87" s="14"/>
      <c r="P87" s="14"/>
      <c r="Q87" s="14"/>
      <c r="R87" s="14"/>
      <c r="S87" s="14"/>
      <c r="T87" s="14"/>
      <c r="U87" s="14"/>
      <c r="V87" s="14"/>
    </row>
    <row r="88" spans="1:22" x14ac:dyDescent="0.2">
      <c r="B88" s="19" t="s">
        <v>69</v>
      </c>
      <c r="C88" s="35">
        <f>SUM(C72:C87)</f>
        <v>1707</v>
      </c>
      <c r="D88" s="158"/>
      <c r="E88" s="193"/>
      <c r="F88" s="193"/>
      <c r="G88" s="193"/>
      <c r="H88" s="297"/>
      <c r="I88" s="14"/>
      <c r="J88" s="14"/>
      <c r="K88" s="14"/>
      <c r="L88" s="14"/>
      <c r="M88" s="14"/>
      <c r="N88" s="14"/>
      <c r="O88" s="14"/>
      <c r="P88" s="14"/>
      <c r="Q88" s="14"/>
      <c r="R88" s="14"/>
      <c r="S88" s="14"/>
      <c r="T88" s="14"/>
      <c r="U88" s="14"/>
      <c r="V88" s="14"/>
    </row>
    <row r="89" spans="1:22" s="16" customFormat="1" ht="13.5" thickBot="1" x14ac:dyDescent="0.25">
      <c r="A89" s="17" t="s">
        <v>45</v>
      </c>
      <c r="B89" s="16" t="s">
        <v>53</v>
      </c>
      <c r="C89" s="155" t="s">
        <v>51</v>
      </c>
      <c r="D89" s="118">
        <f>-SUM(D70:D88)+D65</f>
        <v>84.150500000000022</v>
      </c>
      <c r="E89" s="244">
        <f>-SUM(E70:E88)+E65</f>
        <v>225.89449999999999</v>
      </c>
      <c r="F89" s="244">
        <f>-SUM(F70:F88)+F65</f>
        <v>65.489999999999966</v>
      </c>
      <c r="G89" s="244">
        <f>-SUM(G70:G88)+G65</f>
        <v>5.3894999999999982</v>
      </c>
      <c r="H89" s="245">
        <f>-SUM(H67:H88)+H65</f>
        <v>-274.09199999999993</v>
      </c>
      <c r="I89" s="248">
        <f t="shared" ref="I89:V89" si="19">-SUM(I70:I88)+I65</f>
        <v>71.443574250000012</v>
      </c>
      <c r="J89" s="248">
        <f t="shared" si="19"/>
        <v>31.085252868874989</v>
      </c>
      <c r="K89" s="248">
        <f t="shared" si="19"/>
        <v>79.139566816510694</v>
      </c>
      <c r="L89" s="248">
        <f t="shared" si="19"/>
        <v>26.970829152090346</v>
      </c>
      <c r="M89" s="253">
        <f t="shared" si="19"/>
        <v>58.132705462978407</v>
      </c>
      <c r="N89" s="253">
        <f t="shared" si="19"/>
        <v>31.806799873417901</v>
      </c>
      <c r="O89" s="253">
        <f t="shared" si="19"/>
        <v>68.510953389316342</v>
      </c>
      <c r="P89" s="253">
        <f t="shared" si="19"/>
        <v>29.505481624622632</v>
      </c>
      <c r="Q89" s="278">
        <f t="shared" si="19"/>
        <v>59.919346551102365</v>
      </c>
      <c r="R89" s="244">
        <f t="shared" si="19"/>
        <v>81.829254084316688</v>
      </c>
      <c r="S89" s="278">
        <f t="shared" si="19"/>
        <v>119.83740516239425</v>
      </c>
      <c r="T89" s="244">
        <f t="shared" si="19"/>
        <v>289.70890386480812</v>
      </c>
      <c r="U89" s="278">
        <f t="shared" si="19"/>
        <v>439.37511386609941</v>
      </c>
      <c r="V89" s="244">
        <f t="shared" si="19"/>
        <v>501.25499951584385</v>
      </c>
    </row>
    <row r="90" spans="1:22" ht="14.25" thickTop="1" thickBot="1" x14ac:dyDescent="0.25">
      <c r="C90" s="4"/>
      <c r="D90" s="158"/>
      <c r="E90" s="193"/>
      <c r="F90" s="193"/>
      <c r="G90" s="193"/>
      <c r="H90" s="297"/>
      <c r="I90" s="14"/>
      <c r="J90" s="14"/>
      <c r="K90" s="14"/>
      <c r="L90" s="14"/>
      <c r="M90" s="14"/>
      <c r="N90" s="14"/>
      <c r="O90" s="14"/>
      <c r="P90" s="14"/>
      <c r="Q90" s="14"/>
      <c r="R90" s="14"/>
      <c r="S90" s="14"/>
      <c r="T90" s="14"/>
      <c r="U90" s="14"/>
      <c r="V90" s="14"/>
    </row>
    <row r="91" spans="1:22" s="176" customFormat="1" ht="13.5" thickBot="1" x14ac:dyDescent="0.25">
      <c r="A91" s="32" t="s">
        <v>52</v>
      </c>
      <c r="B91" s="176" t="s">
        <v>23</v>
      </c>
      <c r="C91" s="216"/>
      <c r="D91" s="215">
        <f>+D89</f>
        <v>84.150500000000022</v>
      </c>
      <c r="E91" s="215">
        <f>+D91+E89</f>
        <v>310.04500000000002</v>
      </c>
      <c r="F91" s="215">
        <f t="shared" ref="F91:R91" si="20">+E91+F89</f>
        <v>375.53499999999997</v>
      </c>
      <c r="G91" s="215">
        <f t="shared" si="20"/>
        <v>380.92449999999997</v>
      </c>
      <c r="H91" s="298">
        <f t="shared" si="20"/>
        <v>106.83250000000004</v>
      </c>
      <c r="I91" s="217">
        <f t="shared" si="20"/>
        <v>178.27607425000005</v>
      </c>
      <c r="J91" s="217">
        <f t="shared" si="20"/>
        <v>209.36132711887504</v>
      </c>
      <c r="K91" s="217">
        <f t="shared" si="20"/>
        <v>288.50089393538576</v>
      </c>
      <c r="L91" s="215">
        <f t="shared" si="20"/>
        <v>315.47172308747611</v>
      </c>
      <c r="M91" s="215">
        <f t="shared" si="20"/>
        <v>373.60442855045449</v>
      </c>
      <c r="N91" s="215">
        <f t="shared" si="20"/>
        <v>405.41122842387239</v>
      </c>
      <c r="O91" s="215">
        <f t="shared" si="20"/>
        <v>473.92218181318873</v>
      </c>
      <c r="P91" s="215">
        <f t="shared" si="20"/>
        <v>503.42766343781136</v>
      </c>
      <c r="Q91" s="215">
        <f t="shared" si="20"/>
        <v>563.34700998891367</v>
      </c>
      <c r="R91" s="247">
        <f t="shared" si="20"/>
        <v>645.17626407323041</v>
      </c>
      <c r="S91" s="215">
        <f>+R91+S89</f>
        <v>765.01366923562466</v>
      </c>
      <c r="T91" s="215">
        <f>+S91+T89</f>
        <v>1054.7225731004328</v>
      </c>
      <c r="U91" s="215">
        <f>+T91+U89</f>
        <v>1494.0976869665321</v>
      </c>
      <c r="V91" s="215">
        <f>+U91+V89</f>
        <v>1995.3526864823759</v>
      </c>
    </row>
    <row r="92" spans="1:22" s="176" customFormat="1" x14ac:dyDescent="0.2">
      <c r="A92" s="32"/>
      <c r="C92" s="216"/>
      <c r="D92" s="215"/>
      <c r="E92" s="215"/>
      <c r="F92" s="215"/>
      <c r="G92" s="215"/>
      <c r="H92" s="299"/>
      <c r="I92" s="217"/>
      <c r="J92" s="217"/>
      <c r="K92" s="217"/>
      <c r="L92" s="215"/>
      <c r="M92" s="217"/>
      <c r="N92" s="215"/>
      <c r="O92" s="217"/>
      <c r="P92" s="217"/>
      <c r="Q92" s="217"/>
      <c r="R92" s="215"/>
      <c r="S92" s="215"/>
      <c r="T92" s="215"/>
      <c r="U92" s="215"/>
      <c r="V92" s="215"/>
    </row>
    <row r="93" spans="1:22" s="220" customFormat="1" ht="15.75" x14ac:dyDescent="0.25">
      <c r="A93" s="221"/>
      <c r="B93" s="223" t="s">
        <v>128</v>
      </c>
      <c r="C93" s="224"/>
      <c r="D93" s="224">
        <f>-SUM(D71:D87)</f>
        <v>-96</v>
      </c>
      <c r="E93" s="224">
        <f t="shared" ref="E93:V93" si="21">-SUM(E71:E87)</f>
        <v>213.7</v>
      </c>
      <c r="F93" s="224">
        <f t="shared" si="21"/>
        <v>-25</v>
      </c>
      <c r="G93" s="224">
        <f t="shared" si="21"/>
        <v>-25</v>
      </c>
      <c r="H93" s="300">
        <f t="shared" si="21"/>
        <v>-1051.5</v>
      </c>
      <c r="I93" s="224">
        <f t="shared" si="21"/>
        <v>0</v>
      </c>
      <c r="J93" s="224">
        <f t="shared" si="21"/>
        <v>-50</v>
      </c>
      <c r="K93" s="224">
        <f t="shared" si="21"/>
        <v>0</v>
      </c>
      <c r="L93" s="224">
        <f t="shared" si="21"/>
        <v>-50</v>
      </c>
      <c r="M93" s="224">
        <f t="shared" si="21"/>
        <v>0</v>
      </c>
      <c r="N93" s="224">
        <f t="shared" si="21"/>
        <v>-37.5</v>
      </c>
      <c r="O93" s="224">
        <f t="shared" si="21"/>
        <v>0</v>
      </c>
      <c r="P93" s="224">
        <f t="shared" si="21"/>
        <v>-37.5</v>
      </c>
      <c r="Q93" s="224">
        <f t="shared" si="21"/>
        <v>-198.57132994738816</v>
      </c>
      <c r="R93" s="224">
        <f t="shared" si="21"/>
        <v>-193.8680073738679</v>
      </c>
      <c r="S93" s="224">
        <f t="shared" si="21"/>
        <v>-206.77294609363844</v>
      </c>
      <c r="T93" s="224">
        <f t="shared" si="21"/>
        <v>-93.5</v>
      </c>
      <c r="U93" s="224">
        <f t="shared" si="21"/>
        <v>0</v>
      </c>
      <c r="V93" s="225">
        <f t="shared" si="21"/>
        <v>0</v>
      </c>
    </row>
    <row r="94" spans="1:22" s="232" customFormat="1" ht="16.5" thickBot="1" x14ac:dyDescent="0.3">
      <c r="A94" s="228"/>
      <c r="B94" s="223" t="s">
        <v>127</v>
      </c>
      <c r="C94" s="224">
        <v>1891</v>
      </c>
      <c r="D94" s="224">
        <f>+C94+D93</f>
        <v>1795</v>
      </c>
      <c r="E94" s="224">
        <f t="shared" ref="E94:V94" si="22">+D94+E93</f>
        <v>2008.7</v>
      </c>
      <c r="F94" s="224">
        <f t="shared" si="22"/>
        <v>1983.7</v>
      </c>
      <c r="G94" s="224">
        <f t="shared" si="22"/>
        <v>1958.7</v>
      </c>
      <c r="H94" s="301">
        <f t="shared" si="22"/>
        <v>907.2</v>
      </c>
      <c r="I94" s="224">
        <f t="shared" si="22"/>
        <v>907.2</v>
      </c>
      <c r="J94" s="224">
        <f t="shared" si="22"/>
        <v>857.2</v>
      </c>
      <c r="K94" s="224">
        <f t="shared" si="22"/>
        <v>857.2</v>
      </c>
      <c r="L94" s="224">
        <f t="shared" si="22"/>
        <v>807.2</v>
      </c>
      <c r="M94" s="224">
        <f t="shared" si="22"/>
        <v>807.2</v>
      </c>
      <c r="N94" s="224">
        <f t="shared" si="22"/>
        <v>769.7</v>
      </c>
      <c r="O94" s="224">
        <f t="shared" si="22"/>
        <v>769.7</v>
      </c>
      <c r="P94" s="224">
        <f t="shared" si="22"/>
        <v>732.2</v>
      </c>
      <c r="Q94" s="224">
        <f t="shared" si="22"/>
        <v>533.62867005261182</v>
      </c>
      <c r="R94" s="224">
        <f t="shared" si="22"/>
        <v>339.76066267874393</v>
      </c>
      <c r="S94" s="224">
        <f t="shared" si="22"/>
        <v>132.98771658510549</v>
      </c>
      <c r="T94" s="224">
        <f t="shared" si="22"/>
        <v>39.487716585105488</v>
      </c>
      <c r="U94" s="224">
        <f t="shared" si="22"/>
        <v>39.487716585105488</v>
      </c>
      <c r="V94" s="225">
        <f t="shared" si="22"/>
        <v>39.487716585105488</v>
      </c>
    </row>
    <row r="95" spans="1:22" s="16" customFormat="1" x14ac:dyDescent="0.2">
      <c r="A95" s="17"/>
      <c r="D95" s="105"/>
      <c r="E95" s="36"/>
      <c r="F95" s="36"/>
      <c r="G95" s="36"/>
      <c r="H95" s="36"/>
      <c r="I95" s="36"/>
      <c r="J95" s="36"/>
      <c r="K95" s="36"/>
      <c r="L95" s="105"/>
      <c r="M95" s="36"/>
      <c r="N95" s="105"/>
      <c r="O95" s="36"/>
      <c r="P95" s="36"/>
      <c r="Q95" s="36"/>
      <c r="R95" s="36"/>
      <c r="S95" s="36"/>
      <c r="T95" s="36"/>
      <c r="U95" s="36"/>
      <c r="V95" s="36"/>
    </row>
    <row r="96" spans="1:22" ht="15.75" x14ac:dyDescent="0.25">
      <c r="B96" s="268" t="s">
        <v>50</v>
      </c>
    </row>
    <row r="97" spans="1:22" ht="15.75" x14ac:dyDescent="0.25">
      <c r="B97" s="268"/>
    </row>
    <row r="98" spans="1:22" ht="15.75" x14ac:dyDescent="0.25">
      <c r="B98" s="268"/>
    </row>
    <row r="100" spans="1:22" s="281" customFormat="1" ht="15.75" x14ac:dyDescent="0.25">
      <c r="A100" s="280"/>
      <c r="B100" s="281" t="s">
        <v>146</v>
      </c>
      <c r="D100" s="232">
        <v>27.995000000000001</v>
      </c>
      <c r="E100" s="232">
        <f>+D100</f>
        <v>27.995000000000001</v>
      </c>
      <c r="F100" s="232">
        <f>+E100</f>
        <v>27.995000000000001</v>
      </c>
      <c r="G100" s="232">
        <f>+F100</f>
        <v>27.995000000000001</v>
      </c>
      <c r="H100" s="232">
        <v>27.995000000000001</v>
      </c>
      <c r="I100" s="232"/>
      <c r="J100" s="232"/>
      <c r="K100" s="232"/>
      <c r="L100" s="232"/>
      <c r="M100" s="232"/>
      <c r="N100" s="232"/>
      <c r="O100" s="232"/>
      <c r="P100" s="232"/>
      <c r="Q100" s="232"/>
      <c r="R100" s="232"/>
      <c r="S100" s="232"/>
      <c r="T100" s="232"/>
      <c r="U100" s="232"/>
      <c r="V100" s="232"/>
    </row>
    <row r="101" spans="1:22" s="281" customFormat="1" ht="15" x14ac:dyDescent="0.2">
      <c r="A101" s="280"/>
    </row>
    <row r="102" spans="1:22" s="281" customFormat="1" ht="15.75" thickBot="1" x14ac:dyDescent="0.25">
      <c r="A102" s="280"/>
      <c r="B102" s="281" t="s">
        <v>147</v>
      </c>
      <c r="E102" s="282">
        <v>-2869.3</v>
      </c>
      <c r="F102" s="282">
        <v>67.7</v>
      </c>
      <c r="G102" s="282">
        <v>24</v>
      </c>
      <c r="H102" s="282">
        <v>823.5</v>
      </c>
      <c r="I102" s="282"/>
      <c r="J102" s="282"/>
      <c r="K102" s="282"/>
      <c r="L102" s="282"/>
      <c r="M102" s="282"/>
      <c r="N102" s="282"/>
      <c r="O102" s="282"/>
      <c r="P102" s="282"/>
      <c r="Q102" s="282"/>
      <c r="R102" s="282"/>
      <c r="S102" s="282"/>
      <c r="T102" s="282"/>
      <c r="U102" s="282"/>
      <c r="V102" s="282"/>
    </row>
    <row r="103" spans="1:22" s="281" customFormat="1" ht="15" x14ac:dyDescent="0.2">
      <c r="A103" s="280"/>
      <c r="B103" s="317" t="s">
        <v>150</v>
      </c>
      <c r="C103" s="318"/>
      <c r="D103" s="318"/>
      <c r="E103" s="319"/>
      <c r="F103" s="319"/>
      <c r="G103" s="319"/>
      <c r="H103" s="319"/>
      <c r="I103" s="319"/>
      <c r="J103" s="319"/>
      <c r="K103" s="319"/>
      <c r="L103" s="319"/>
      <c r="M103" s="319"/>
      <c r="N103" s="319"/>
      <c r="O103" s="319"/>
      <c r="P103" s="319"/>
      <c r="Q103" s="319"/>
      <c r="R103" s="319"/>
      <c r="S103" s="319"/>
      <c r="T103" s="319"/>
      <c r="U103" s="319"/>
      <c r="V103" s="320"/>
    </row>
    <row r="104" spans="1:22" s="281" customFormat="1" ht="15" x14ac:dyDescent="0.2">
      <c r="A104" s="280"/>
      <c r="B104" s="321" t="s">
        <v>161</v>
      </c>
      <c r="C104" s="322"/>
      <c r="D104" s="322"/>
      <c r="E104" s="323">
        <f>146-30</f>
        <v>116</v>
      </c>
      <c r="F104" s="323">
        <f>145.2-24.2</f>
        <v>120.99999999999999</v>
      </c>
      <c r="G104" s="323">
        <f>137.775-26.6</f>
        <v>111.17500000000001</v>
      </c>
      <c r="H104" s="323">
        <f>141.56-23.4</f>
        <v>118.16</v>
      </c>
      <c r="I104" s="323"/>
      <c r="J104" s="323"/>
      <c r="K104" s="323"/>
      <c r="L104" s="324"/>
      <c r="M104" s="323"/>
      <c r="N104" s="323"/>
      <c r="O104" s="323"/>
      <c r="P104" s="323"/>
      <c r="Q104" s="323"/>
      <c r="R104" s="323"/>
      <c r="S104" s="323"/>
      <c r="T104" s="323"/>
      <c r="U104" s="323"/>
      <c r="V104" s="325"/>
    </row>
    <row r="105" spans="1:22" s="281" customFormat="1" ht="15" x14ac:dyDescent="0.2">
      <c r="A105" s="280"/>
      <c r="B105" s="321"/>
      <c r="C105" s="322"/>
      <c r="D105" s="322"/>
      <c r="E105" s="322"/>
      <c r="F105" s="322"/>
      <c r="G105" s="322"/>
      <c r="H105" s="322"/>
      <c r="I105" s="322"/>
      <c r="J105" s="322"/>
      <c r="K105" s="322"/>
      <c r="L105" s="322"/>
      <c r="M105" s="322"/>
      <c r="N105" s="322"/>
      <c r="O105" s="322"/>
      <c r="P105" s="322"/>
      <c r="Q105" s="322"/>
      <c r="R105" s="322"/>
      <c r="S105" s="322"/>
      <c r="T105" s="322"/>
      <c r="U105" s="322"/>
      <c r="V105" s="326"/>
    </row>
    <row r="106" spans="1:22" s="285" customFormat="1" ht="16.5" thickBot="1" x14ac:dyDescent="0.3">
      <c r="A106" s="284"/>
      <c r="B106" s="327" t="s">
        <v>148</v>
      </c>
      <c r="C106" s="328"/>
      <c r="D106" s="328"/>
      <c r="E106" s="328"/>
      <c r="F106" s="329">
        <f>+(F104*4)/F$100</f>
        <v>17.288801571709232</v>
      </c>
      <c r="G106" s="329">
        <f>+(G104*4)/G$100</f>
        <v>15.884979460617968</v>
      </c>
      <c r="H106" s="329">
        <f>+(H104*4)/H$100</f>
        <v>16.883014824075726</v>
      </c>
      <c r="I106" s="328"/>
      <c r="J106" s="328"/>
      <c r="K106" s="328"/>
      <c r="L106" s="328"/>
      <c r="M106" s="328"/>
      <c r="N106" s="328"/>
      <c r="O106" s="328"/>
      <c r="P106" s="328"/>
      <c r="Q106" s="328"/>
      <c r="R106" s="328"/>
      <c r="S106" s="328"/>
      <c r="T106" s="328"/>
      <c r="U106" s="328"/>
      <c r="V106" s="330"/>
    </row>
    <row r="107" spans="1:22" s="281" customFormat="1" ht="15" x14ac:dyDescent="0.2">
      <c r="A107" s="280"/>
    </row>
    <row r="108" spans="1:22" s="285" customFormat="1" ht="15.75" x14ac:dyDescent="0.25">
      <c r="A108" s="284"/>
      <c r="B108" s="285" t="s">
        <v>149</v>
      </c>
      <c r="E108" s="286">
        <f>+E23/E$100*4</f>
        <v>20.860868012145026</v>
      </c>
      <c r="F108" s="286">
        <f>+F23/F$100*4</f>
        <v>20.746561886051079</v>
      </c>
      <c r="G108" s="286">
        <f>+G23/G$100*4</f>
        <v>19.689230219682088</v>
      </c>
      <c r="H108" s="286">
        <f>+H23/H$100*4</f>
        <v>20.225040185747456</v>
      </c>
    </row>
    <row r="110" spans="1:22" s="96" customFormat="1" ht="15.75" x14ac:dyDescent="0.25">
      <c r="A110" s="302"/>
      <c r="B110" s="303"/>
      <c r="C110" s="304"/>
      <c r="D110" s="304"/>
      <c r="E110" s="304"/>
      <c r="F110" s="304"/>
      <c r="G110" s="304"/>
      <c r="H110" s="304"/>
      <c r="I110" s="304"/>
      <c r="J110" s="304"/>
      <c r="K110" s="304"/>
      <c r="L110" s="304"/>
      <c r="M110" s="304"/>
      <c r="N110" s="304"/>
      <c r="O110" s="304"/>
      <c r="P110" s="304"/>
      <c r="Q110" s="304"/>
      <c r="R110" s="304"/>
      <c r="S110" s="304"/>
      <c r="T110" s="304"/>
      <c r="U110" s="304"/>
      <c r="V110" s="305"/>
    </row>
    <row r="111" spans="1:22" s="96" customFormat="1" ht="15.75" x14ac:dyDescent="0.25">
      <c r="A111" s="302"/>
      <c r="B111" s="306" t="s">
        <v>152</v>
      </c>
      <c r="C111" s="307"/>
      <c r="D111" s="307"/>
      <c r="E111" s="307"/>
      <c r="F111" s="307"/>
      <c r="G111" s="307"/>
      <c r="H111" s="308">
        <v>61.75</v>
      </c>
      <c r="I111" s="307"/>
      <c r="J111" s="307"/>
      <c r="K111" s="307"/>
      <c r="L111" s="307"/>
      <c r="M111" s="307"/>
      <c r="N111" s="307"/>
      <c r="O111" s="307"/>
      <c r="P111" s="307"/>
      <c r="Q111" s="307"/>
      <c r="R111" s="307"/>
      <c r="S111" s="307"/>
      <c r="T111" s="307"/>
      <c r="U111" s="307"/>
      <c r="V111" s="309"/>
    </row>
    <row r="112" spans="1:22" s="96" customFormat="1" ht="15.75" x14ac:dyDescent="0.25">
      <c r="A112" s="302"/>
      <c r="B112" s="306" t="s">
        <v>153</v>
      </c>
      <c r="C112" s="307"/>
      <c r="D112" s="307"/>
      <c r="E112" s="307"/>
      <c r="F112" s="307"/>
      <c r="G112" s="307"/>
      <c r="H112" s="308">
        <v>47.98</v>
      </c>
      <c r="I112" s="307"/>
      <c r="J112" s="307"/>
      <c r="K112" s="307"/>
      <c r="L112" s="307"/>
      <c r="M112" s="307"/>
      <c r="N112" s="307"/>
      <c r="O112" s="307"/>
      <c r="P112" s="307"/>
      <c r="Q112" s="307"/>
      <c r="R112" s="307"/>
      <c r="S112" s="307"/>
      <c r="T112" s="307"/>
      <c r="U112" s="307"/>
      <c r="V112" s="309"/>
    </row>
    <row r="113" spans="1:22" s="96" customFormat="1" ht="15.75" x14ac:dyDescent="0.25">
      <c r="A113" s="302"/>
      <c r="B113" s="306"/>
      <c r="C113" s="307"/>
      <c r="D113" s="307"/>
      <c r="E113" s="307"/>
      <c r="F113" s="307"/>
      <c r="G113" s="307"/>
      <c r="H113" s="307"/>
      <c r="I113" s="307"/>
      <c r="J113" s="307"/>
      <c r="K113" s="307"/>
      <c r="L113" s="307"/>
      <c r="M113" s="307"/>
      <c r="N113" s="307"/>
      <c r="O113" s="307"/>
      <c r="P113" s="307"/>
      <c r="Q113" s="307"/>
      <c r="R113" s="307"/>
      <c r="S113" s="307"/>
      <c r="T113" s="307"/>
      <c r="U113" s="307"/>
      <c r="V113" s="309"/>
    </row>
    <row r="114" spans="1:22" s="96" customFormat="1" ht="15.75" x14ac:dyDescent="0.25">
      <c r="A114" s="302"/>
      <c r="B114" s="306" t="s">
        <v>154</v>
      </c>
      <c r="C114" s="307"/>
      <c r="D114" s="307"/>
      <c r="E114" s="307"/>
      <c r="F114" s="307"/>
      <c r="G114" s="307"/>
      <c r="H114" s="310">
        <f>+H111/$H$100</f>
        <v>2.2057510269691014</v>
      </c>
      <c r="I114" s="307"/>
      <c r="J114" s="307"/>
      <c r="K114" s="307"/>
      <c r="L114" s="307"/>
      <c r="M114" s="307"/>
      <c r="N114" s="307"/>
      <c r="O114" s="307"/>
      <c r="P114" s="307"/>
      <c r="Q114" s="307"/>
      <c r="R114" s="307"/>
      <c r="S114" s="307"/>
      <c r="T114" s="307"/>
      <c r="U114" s="307"/>
      <c r="V114" s="309"/>
    </row>
    <row r="115" spans="1:22" s="96" customFormat="1" ht="15.75" x14ac:dyDescent="0.25">
      <c r="A115" s="302"/>
      <c r="B115" s="311" t="s">
        <v>155</v>
      </c>
      <c r="C115" s="312"/>
      <c r="D115" s="312"/>
      <c r="E115" s="312"/>
      <c r="F115" s="312"/>
      <c r="G115" s="312"/>
      <c r="H115" s="313">
        <f>+H112/$H$100</f>
        <v>1.7138774781210928</v>
      </c>
      <c r="I115" s="312"/>
      <c r="J115" s="312"/>
      <c r="K115" s="312"/>
      <c r="L115" s="312"/>
      <c r="M115" s="312"/>
      <c r="N115" s="312"/>
      <c r="O115" s="312"/>
      <c r="P115" s="312"/>
      <c r="Q115" s="312"/>
      <c r="R115" s="312"/>
      <c r="S115" s="312"/>
      <c r="T115" s="312"/>
      <c r="U115" s="312"/>
      <c r="V115" s="314"/>
    </row>
    <row r="116" spans="1:22" s="16" customFormat="1" x14ac:dyDescent="0.2">
      <c r="A116" s="17"/>
    </row>
    <row r="117" spans="1:22" ht="20.25" x14ac:dyDescent="0.3">
      <c r="B117" s="316" t="s">
        <v>156</v>
      </c>
    </row>
    <row r="118" spans="1:22" ht="20.25" x14ac:dyDescent="0.3">
      <c r="B118" s="315" t="s">
        <v>158</v>
      </c>
    </row>
    <row r="119" spans="1:22" ht="20.25" x14ac:dyDescent="0.3">
      <c r="B119" s="315" t="s">
        <v>159</v>
      </c>
    </row>
    <row r="120" spans="1:22" ht="20.25" x14ac:dyDescent="0.3">
      <c r="B120" s="315" t="s">
        <v>157</v>
      </c>
    </row>
  </sheetData>
  <phoneticPr fontId="7" type="noConversion"/>
  <pageMargins left="0.75" right="0.75" top="1" bottom="1" header="0.5" footer="0.5"/>
  <pageSetup paperSize="9" orientation="portrait" horizontalDpi="0" verticalDpi="0" r:id="rId1"/>
  <headerFooter alignWithMargins="0"/>
  <ignoredErrors>
    <ignoredError sqref="H65" formula="1"/>
  </ignoredErrors>
  <legacyDrawing r:id="rId2"/>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5"/>
  <dimension ref="A1:V107"/>
  <sheetViews>
    <sheetView workbookViewId="0">
      <selection sqref="A1:IV65536"/>
    </sheetView>
  </sheetViews>
  <sheetFormatPr defaultRowHeight="12.75" x14ac:dyDescent="0.2"/>
  <cols>
    <col min="1" max="1" width="4.5703125" style="6" customWidth="1"/>
    <col min="2" max="2" width="21.42578125" customWidth="1"/>
    <col min="3" max="3" width="8" customWidth="1"/>
    <col min="5" max="5" width="10.85546875" customWidth="1"/>
    <col min="6" max="16" width="9.7109375" customWidth="1"/>
    <col min="17" max="22" width="11.28515625" customWidth="1"/>
  </cols>
  <sheetData>
    <row r="1" spans="1:22" ht="33.75" thickBot="1" x14ac:dyDescent="0.65">
      <c r="B1" s="113" t="s">
        <v>130</v>
      </c>
      <c r="G1" s="98"/>
      <c r="H1" s="65"/>
      <c r="I1" s="64"/>
      <c r="J1" s="65" t="s">
        <v>108</v>
      </c>
      <c r="K1" s="64"/>
      <c r="L1" s="64"/>
    </row>
    <row r="2" spans="1:22" s="98" customFormat="1" ht="36" customHeight="1" thickBot="1" x14ac:dyDescent="0.55000000000000004">
      <c r="A2" s="31"/>
      <c r="B2" s="97"/>
      <c r="G2" s="269"/>
      <c r="H2" s="270"/>
      <c r="I2" s="271"/>
      <c r="J2" s="272" t="s">
        <v>133</v>
      </c>
      <c r="K2" s="271"/>
      <c r="L2" s="271"/>
      <c r="M2" s="273"/>
    </row>
    <row r="3" spans="1:22" ht="20.25" x14ac:dyDescent="0.3">
      <c r="B3" s="114" t="s">
        <v>110</v>
      </c>
      <c r="C3" s="95"/>
      <c r="D3" s="185"/>
      <c r="E3" s="104"/>
      <c r="F3" s="96"/>
    </row>
    <row r="4" spans="1:22" s="19" customFormat="1" ht="16.5" thickBot="1" x14ac:dyDescent="0.3">
      <c r="A4" s="17"/>
      <c r="C4" s="144"/>
      <c r="D4" s="175" t="s">
        <v>20</v>
      </c>
      <c r="E4" s="160" t="s">
        <v>1</v>
      </c>
      <c r="F4" s="20" t="s">
        <v>2</v>
      </c>
      <c r="G4" s="20" t="s">
        <v>3</v>
      </c>
      <c r="H4" s="20" t="s">
        <v>4</v>
      </c>
      <c r="I4" s="21" t="s">
        <v>5</v>
      </c>
      <c r="J4" s="21" t="s">
        <v>6</v>
      </c>
      <c r="K4" s="21" t="s">
        <v>7</v>
      </c>
      <c r="L4" s="21" t="s">
        <v>8</v>
      </c>
      <c r="M4" s="22" t="s">
        <v>9</v>
      </c>
      <c r="N4" s="22" t="s">
        <v>10</v>
      </c>
      <c r="O4" s="22" t="s">
        <v>11</v>
      </c>
      <c r="P4" s="22" t="s">
        <v>12</v>
      </c>
      <c r="Q4" s="274">
        <v>2015</v>
      </c>
      <c r="R4" s="279">
        <v>2016</v>
      </c>
      <c r="S4" s="274">
        <v>2017</v>
      </c>
      <c r="T4" s="279">
        <v>2018</v>
      </c>
      <c r="U4" s="274">
        <v>2019</v>
      </c>
      <c r="V4" s="279">
        <v>2020</v>
      </c>
    </row>
    <row r="5" spans="1:22" s="129" customFormat="1" ht="17.25" thickBot="1" x14ac:dyDescent="0.3">
      <c r="B5" s="136" t="s">
        <v>105</v>
      </c>
      <c r="C5" s="137"/>
      <c r="D5" s="137"/>
      <c r="E5" s="138"/>
      <c r="F5" s="138"/>
      <c r="G5" s="138"/>
      <c r="H5" s="139">
        <v>2.2499999999999999E-2</v>
      </c>
      <c r="I5" s="138">
        <f t="shared" ref="I5:O6" si="0">+H5</f>
        <v>2.2499999999999999E-2</v>
      </c>
      <c r="J5" s="138">
        <f t="shared" si="0"/>
        <v>2.2499999999999999E-2</v>
      </c>
      <c r="K5" s="138">
        <f t="shared" si="0"/>
        <v>2.2499999999999999E-2</v>
      </c>
      <c r="L5" s="139">
        <f t="shared" si="0"/>
        <v>2.2499999999999999E-2</v>
      </c>
      <c r="M5" s="181">
        <f t="shared" si="0"/>
        <v>2.2499999999999999E-2</v>
      </c>
      <c r="N5" s="138">
        <f t="shared" si="0"/>
        <v>2.2499999999999999E-2</v>
      </c>
      <c r="O5" s="138">
        <f t="shared" si="0"/>
        <v>2.2499999999999999E-2</v>
      </c>
      <c r="P5" s="139">
        <f>+O5</f>
        <v>2.2499999999999999E-2</v>
      </c>
      <c r="Q5" s="179">
        <v>0.15</v>
      </c>
      <c r="R5" s="179">
        <v>0.15</v>
      </c>
      <c r="S5" s="139">
        <v>0.15</v>
      </c>
      <c r="T5" s="139">
        <v>0.15</v>
      </c>
      <c r="U5" s="139">
        <v>0.15</v>
      </c>
      <c r="V5" s="139">
        <v>0.15</v>
      </c>
    </row>
    <row r="6" spans="1:22" s="129" customFormat="1" ht="17.25" thickBot="1" x14ac:dyDescent="0.3">
      <c r="B6" s="130" t="s">
        <v>106</v>
      </c>
      <c r="C6" s="131"/>
      <c r="D6" s="131"/>
      <c r="E6" s="138"/>
      <c r="F6" s="132"/>
      <c r="G6" s="132"/>
      <c r="H6" s="133">
        <v>-4.3999999999999997E-2</v>
      </c>
      <c r="I6" s="182">
        <f t="shared" si="0"/>
        <v>-4.3999999999999997E-2</v>
      </c>
      <c r="J6" s="132">
        <f t="shared" si="0"/>
        <v>-4.3999999999999997E-2</v>
      </c>
      <c r="K6" s="132">
        <f t="shared" si="0"/>
        <v>-4.3999999999999997E-2</v>
      </c>
      <c r="L6" s="133">
        <f t="shared" si="0"/>
        <v>-4.3999999999999997E-2</v>
      </c>
      <c r="M6" s="182">
        <f t="shared" si="0"/>
        <v>-4.3999999999999997E-2</v>
      </c>
      <c r="N6" s="132">
        <f t="shared" si="0"/>
        <v>-4.3999999999999997E-2</v>
      </c>
      <c r="O6" s="132">
        <f t="shared" si="0"/>
        <v>-4.3999999999999997E-2</v>
      </c>
      <c r="P6" s="133">
        <f>+O6</f>
        <v>-4.3999999999999997E-2</v>
      </c>
      <c r="Q6" s="180">
        <v>-0.15</v>
      </c>
      <c r="R6" s="180">
        <v>-0.15</v>
      </c>
      <c r="S6" s="133">
        <v>-0.1</v>
      </c>
      <c r="T6" s="133">
        <v>-0.05</v>
      </c>
      <c r="U6" s="133">
        <v>0</v>
      </c>
      <c r="V6" s="133">
        <v>0</v>
      </c>
    </row>
    <row r="7" spans="1:22" ht="20.25" x14ac:dyDescent="0.3">
      <c r="B7" s="94"/>
      <c r="C7" s="95"/>
      <c r="D7" s="95"/>
      <c r="E7" s="104"/>
      <c r="F7" s="238"/>
      <c r="G7" s="256"/>
    </row>
    <row r="8" spans="1:22" s="16" customFormat="1" ht="15.75" x14ac:dyDescent="0.25">
      <c r="A8" s="17"/>
      <c r="D8" s="155"/>
      <c r="E8" s="189"/>
      <c r="F8" s="189"/>
      <c r="G8" s="199" t="s">
        <v>56</v>
      </c>
    </row>
    <row r="9" spans="1:22" s="19" customFormat="1" x14ac:dyDescent="0.2">
      <c r="A9" s="17"/>
      <c r="C9" s="144" t="s">
        <v>36</v>
      </c>
      <c r="D9" s="175" t="s">
        <v>20</v>
      </c>
      <c r="E9" s="239" t="s">
        <v>1</v>
      </c>
      <c r="F9" s="239" t="s">
        <v>2</v>
      </c>
      <c r="G9" s="200" t="s">
        <v>3</v>
      </c>
      <c r="H9" s="20" t="s">
        <v>4</v>
      </c>
      <c r="I9" s="21" t="s">
        <v>5</v>
      </c>
      <c r="J9" s="21" t="s">
        <v>6</v>
      </c>
      <c r="K9" s="21" t="s">
        <v>7</v>
      </c>
      <c r="L9" s="21" t="s">
        <v>8</v>
      </c>
      <c r="M9" s="22" t="s">
        <v>9</v>
      </c>
      <c r="N9" s="22" t="s">
        <v>10</v>
      </c>
      <c r="O9" s="22" t="s">
        <v>11</v>
      </c>
      <c r="P9" s="22" t="s">
        <v>12</v>
      </c>
      <c r="Q9" s="275">
        <v>2015</v>
      </c>
      <c r="R9" s="19">
        <v>2016</v>
      </c>
      <c r="S9" s="19">
        <v>2017</v>
      </c>
      <c r="T9" s="19">
        <v>2018</v>
      </c>
      <c r="U9" s="19">
        <v>2019</v>
      </c>
      <c r="V9" s="19">
        <v>2020</v>
      </c>
    </row>
    <row r="10" spans="1:22" s="2" customFormat="1" x14ac:dyDescent="0.2">
      <c r="A10" s="31"/>
      <c r="B10" s="53" t="s">
        <v>57</v>
      </c>
      <c r="C10" s="145"/>
      <c r="D10" s="149"/>
      <c r="E10" s="149"/>
      <c r="F10" s="149"/>
      <c r="G10" s="201"/>
    </row>
    <row r="11" spans="1:22" s="2" customFormat="1" x14ac:dyDescent="0.2">
      <c r="A11" s="31"/>
      <c r="B11" s="103"/>
      <c r="C11" s="145"/>
      <c r="D11" s="149"/>
      <c r="E11" s="149"/>
      <c r="F11" s="149"/>
      <c r="G11" s="201"/>
    </row>
    <row r="12" spans="1:22" s="2" customFormat="1" x14ac:dyDescent="0.2">
      <c r="A12" s="31"/>
      <c r="B12" s="72" t="s">
        <v>73</v>
      </c>
      <c r="C12" s="145"/>
      <c r="D12" s="157">
        <v>90</v>
      </c>
      <c r="E12" s="157">
        <v>85.9</v>
      </c>
      <c r="F12" s="157">
        <v>89.7</v>
      </c>
      <c r="G12" s="202">
        <v>92</v>
      </c>
      <c r="H12" s="12">
        <f t="shared" ref="H12:P12" si="1">+G12*(1+H13)</f>
        <v>94.07</v>
      </c>
      <c r="I12" s="12">
        <f t="shared" si="1"/>
        <v>96.186574999999991</v>
      </c>
      <c r="J12" s="12">
        <f t="shared" si="1"/>
        <v>98.350772937499983</v>
      </c>
      <c r="K12" s="12">
        <f t="shared" si="1"/>
        <v>100.56366532859373</v>
      </c>
      <c r="L12" s="12">
        <f t="shared" si="1"/>
        <v>102.82634779848708</v>
      </c>
      <c r="M12" s="12">
        <f t="shared" si="1"/>
        <v>105.13994062395304</v>
      </c>
      <c r="N12" s="12">
        <f t="shared" si="1"/>
        <v>107.50558928799198</v>
      </c>
      <c r="O12" s="12">
        <f t="shared" si="1"/>
        <v>109.92446504697179</v>
      </c>
      <c r="P12" s="12">
        <f t="shared" si="1"/>
        <v>112.39776551052866</v>
      </c>
      <c r="Q12" s="12">
        <f>+P12*4</f>
        <v>449.59106204211463</v>
      </c>
      <c r="R12" s="12">
        <f>+Q12*(1+R13)</f>
        <v>517.02972134843174</v>
      </c>
      <c r="S12" s="12">
        <f>+R12*(1+S13)</f>
        <v>594.58417955069649</v>
      </c>
      <c r="T12" s="12">
        <f>+S12*(1+T13)</f>
        <v>683.77180648330091</v>
      </c>
      <c r="U12" s="12">
        <f>+T12*(1+U13)</f>
        <v>786.33757745579601</v>
      </c>
      <c r="V12" s="12">
        <f>+U12*(1+V13)</f>
        <v>904.28821407416535</v>
      </c>
    </row>
    <row r="13" spans="1:22" s="2" customFormat="1" x14ac:dyDescent="0.2">
      <c r="A13" s="31"/>
      <c r="B13" s="73" t="s">
        <v>76</v>
      </c>
      <c r="C13" s="146"/>
      <c r="D13" s="146"/>
      <c r="E13" s="190"/>
      <c r="F13" s="190"/>
      <c r="G13" s="203"/>
      <c r="H13" s="77">
        <f t="shared" ref="H13:R13" si="2">+H5</f>
        <v>2.2499999999999999E-2</v>
      </c>
      <c r="I13" s="77">
        <f t="shared" si="2"/>
        <v>2.2499999999999999E-2</v>
      </c>
      <c r="J13" s="77">
        <f t="shared" si="2"/>
        <v>2.2499999999999999E-2</v>
      </c>
      <c r="K13" s="77">
        <f t="shared" si="2"/>
        <v>2.2499999999999999E-2</v>
      </c>
      <c r="L13" s="77">
        <f t="shared" si="2"/>
        <v>2.2499999999999999E-2</v>
      </c>
      <c r="M13" s="77">
        <f t="shared" si="2"/>
        <v>2.2499999999999999E-2</v>
      </c>
      <c r="N13" s="77">
        <f t="shared" si="2"/>
        <v>2.2499999999999999E-2</v>
      </c>
      <c r="O13" s="77">
        <f t="shared" si="2"/>
        <v>2.2499999999999999E-2</v>
      </c>
      <c r="P13" s="77">
        <f t="shared" si="2"/>
        <v>2.2499999999999999E-2</v>
      </c>
      <c r="Q13" s="77">
        <f t="shared" si="2"/>
        <v>0.15</v>
      </c>
      <c r="R13" s="77">
        <f t="shared" si="2"/>
        <v>0.15</v>
      </c>
      <c r="S13" s="77">
        <f>+S5</f>
        <v>0.15</v>
      </c>
      <c r="T13" s="77">
        <f>+T5</f>
        <v>0.15</v>
      </c>
      <c r="U13" s="77">
        <f>+U5</f>
        <v>0.15</v>
      </c>
      <c r="V13" s="77">
        <f>+V5</f>
        <v>0.15</v>
      </c>
    </row>
    <row r="14" spans="1:22" s="111" customFormat="1" x14ac:dyDescent="0.2">
      <c r="A14" s="109"/>
      <c r="B14" s="110" t="s">
        <v>122</v>
      </c>
      <c r="C14" s="107"/>
      <c r="D14" s="107">
        <v>0.39400000000000002</v>
      </c>
      <c r="E14" s="107">
        <v>0.4</v>
      </c>
      <c r="F14" s="107">
        <f t="shared" ref="F14:R14" si="3">+E14</f>
        <v>0.4</v>
      </c>
      <c r="G14" s="204">
        <f t="shared" si="3"/>
        <v>0.4</v>
      </c>
      <c r="H14" s="111">
        <f t="shared" si="3"/>
        <v>0.4</v>
      </c>
      <c r="I14" s="111">
        <f t="shared" si="3"/>
        <v>0.4</v>
      </c>
      <c r="J14" s="111">
        <f t="shared" si="3"/>
        <v>0.4</v>
      </c>
      <c r="K14" s="111">
        <f t="shared" si="3"/>
        <v>0.4</v>
      </c>
      <c r="L14" s="111">
        <f t="shared" si="3"/>
        <v>0.4</v>
      </c>
      <c r="M14" s="111">
        <f t="shared" si="3"/>
        <v>0.4</v>
      </c>
      <c r="N14" s="111">
        <f t="shared" si="3"/>
        <v>0.4</v>
      </c>
      <c r="O14" s="111">
        <f t="shared" si="3"/>
        <v>0.4</v>
      </c>
      <c r="P14" s="111">
        <f t="shared" si="3"/>
        <v>0.4</v>
      </c>
      <c r="Q14" s="111">
        <f t="shared" si="3"/>
        <v>0.4</v>
      </c>
      <c r="R14" s="111">
        <f t="shared" si="3"/>
        <v>0.4</v>
      </c>
      <c r="S14" s="111">
        <f>+R14</f>
        <v>0.4</v>
      </c>
      <c r="T14" s="111">
        <f>+S14</f>
        <v>0.4</v>
      </c>
      <c r="U14" s="111">
        <f>+T14</f>
        <v>0.4</v>
      </c>
      <c r="V14" s="111">
        <f>+U14</f>
        <v>0.4</v>
      </c>
    </row>
    <row r="15" spans="1:22" s="2" customFormat="1" x14ac:dyDescent="0.2">
      <c r="A15" s="31"/>
      <c r="B15" s="26" t="s">
        <v>75</v>
      </c>
      <c r="C15" s="145"/>
      <c r="D15" s="80">
        <f>+D12*D14</f>
        <v>35.46</v>
      </c>
      <c r="E15" s="80">
        <f>+E12*E14</f>
        <v>34.360000000000007</v>
      </c>
      <c r="F15" s="80">
        <f t="shared" ref="F15:R15" si="4">+F12*F14</f>
        <v>35.880000000000003</v>
      </c>
      <c r="G15" s="205">
        <f t="shared" si="4"/>
        <v>36.800000000000004</v>
      </c>
      <c r="H15" s="80">
        <f t="shared" si="4"/>
        <v>37.628</v>
      </c>
      <c r="I15" s="80">
        <f t="shared" si="4"/>
        <v>38.474629999999998</v>
      </c>
      <c r="J15" s="80">
        <f t="shared" si="4"/>
        <v>39.340309174999994</v>
      </c>
      <c r="K15" s="80">
        <f t="shared" si="4"/>
        <v>40.225466131437493</v>
      </c>
      <c r="L15" s="80">
        <f t="shared" si="4"/>
        <v>41.130539119394832</v>
      </c>
      <c r="M15" s="80">
        <f t="shared" si="4"/>
        <v>42.055976249581221</v>
      </c>
      <c r="N15" s="80">
        <f t="shared" si="4"/>
        <v>43.002235715196797</v>
      </c>
      <c r="O15" s="80">
        <f t="shared" si="4"/>
        <v>43.969786018788717</v>
      </c>
      <c r="P15" s="80">
        <f t="shared" si="4"/>
        <v>44.959106204211466</v>
      </c>
      <c r="Q15" s="80">
        <f t="shared" si="4"/>
        <v>179.83642481684586</v>
      </c>
      <c r="R15" s="80">
        <f t="shared" si="4"/>
        <v>206.81188853937272</v>
      </c>
      <c r="S15" s="80">
        <f>+S12*S14</f>
        <v>237.8336718202786</v>
      </c>
      <c r="T15" s="80">
        <f>+T12*T14</f>
        <v>273.50872259332039</v>
      </c>
      <c r="U15" s="80">
        <f>+U12*U14</f>
        <v>314.5350309823184</v>
      </c>
      <c r="V15" s="80">
        <f>+V12*V14</f>
        <v>361.71528562966614</v>
      </c>
    </row>
    <row r="16" spans="1:22" s="2" customFormat="1" x14ac:dyDescent="0.2">
      <c r="A16" s="31"/>
      <c r="B16" s="72"/>
      <c r="C16" s="145"/>
      <c r="D16" s="157"/>
      <c r="E16" s="157"/>
      <c r="F16" s="157"/>
      <c r="G16" s="202"/>
      <c r="H16" s="12"/>
      <c r="I16" s="12"/>
      <c r="J16" s="12"/>
      <c r="K16" s="12"/>
      <c r="L16" s="12"/>
      <c r="M16" s="12"/>
      <c r="N16" s="12"/>
      <c r="O16" s="12"/>
      <c r="P16" s="12"/>
      <c r="Q16" s="12"/>
      <c r="R16" s="12"/>
      <c r="S16" s="12"/>
      <c r="T16" s="12"/>
      <c r="U16" s="12"/>
      <c r="V16" s="12"/>
    </row>
    <row r="17" spans="1:22" s="2" customFormat="1" x14ac:dyDescent="0.2">
      <c r="A17" s="31"/>
      <c r="B17" s="72" t="s">
        <v>74</v>
      </c>
      <c r="C17" s="145"/>
      <c r="D17" s="157">
        <v>223.3</v>
      </c>
      <c r="E17" s="157">
        <f>+E22-E12</f>
        <v>203.20000000000002</v>
      </c>
      <c r="F17" s="157">
        <f>+F22-F12</f>
        <v>196.8</v>
      </c>
      <c r="G17" s="202">
        <f>+G22-G12</f>
        <v>175.7</v>
      </c>
      <c r="H17" s="12">
        <f t="shared" ref="H17:R17" si="5">+G17*(1+H18)</f>
        <v>167.96919999999997</v>
      </c>
      <c r="I17" s="12">
        <f t="shared" si="5"/>
        <v>160.57855519999995</v>
      </c>
      <c r="J17" s="12">
        <f t="shared" si="5"/>
        <v>153.51309877119996</v>
      </c>
      <c r="K17" s="12">
        <f t="shared" si="5"/>
        <v>146.75852242526716</v>
      </c>
      <c r="L17" s="12">
        <f t="shared" si="5"/>
        <v>140.3011474385554</v>
      </c>
      <c r="M17" s="12">
        <f t="shared" si="5"/>
        <v>134.12789695125895</v>
      </c>
      <c r="N17" s="12">
        <f t="shared" si="5"/>
        <v>128.22626948540355</v>
      </c>
      <c r="O17" s="12">
        <f t="shared" si="5"/>
        <v>122.58431362804579</v>
      </c>
      <c r="P17" s="12">
        <f t="shared" si="5"/>
        <v>117.19060382841177</v>
      </c>
      <c r="Q17" s="12">
        <f>+P17*4</f>
        <v>468.76241531364707</v>
      </c>
      <c r="R17" s="12">
        <f t="shared" si="5"/>
        <v>398.4480530166</v>
      </c>
      <c r="S17" s="12">
        <f>+R17*(1+S18)</f>
        <v>358.60324771493998</v>
      </c>
      <c r="T17" s="12">
        <f>+S17*(1+T18)</f>
        <v>340.67308532919299</v>
      </c>
      <c r="U17" s="12">
        <f>+T17*(1+U18)</f>
        <v>340.67308532919299</v>
      </c>
      <c r="V17" s="12">
        <f>+U17*(1+V18)</f>
        <v>340.67308532919299</v>
      </c>
    </row>
    <row r="18" spans="1:22" s="2" customFormat="1" x14ac:dyDescent="0.2">
      <c r="A18" s="31"/>
      <c r="B18" s="73" t="s">
        <v>79</v>
      </c>
      <c r="C18" s="145"/>
      <c r="D18" s="157"/>
      <c r="E18" s="191"/>
      <c r="F18" s="191"/>
      <c r="G18" s="206"/>
      <c r="H18" s="78">
        <f t="shared" ref="H18:R18" si="6">+H6</f>
        <v>-4.3999999999999997E-2</v>
      </c>
      <c r="I18" s="78">
        <f t="shared" si="6"/>
        <v>-4.3999999999999997E-2</v>
      </c>
      <c r="J18" s="78">
        <f t="shared" si="6"/>
        <v>-4.3999999999999997E-2</v>
      </c>
      <c r="K18" s="78">
        <f t="shared" si="6"/>
        <v>-4.3999999999999997E-2</v>
      </c>
      <c r="L18" s="78">
        <f t="shared" si="6"/>
        <v>-4.3999999999999997E-2</v>
      </c>
      <c r="M18" s="78">
        <f t="shared" si="6"/>
        <v>-4.3999999999999997E-2</v>
      </c>
      <c r="N18" s="78">
        <f t="shared" si="6"/>
        <v>-4.3999999999999997E-2</v>
      </c>
      <c r="O18" s="78">
        <f t="shared" si="6"/>
        <v>-4.3999999999999997E-2</v>
      </c>
      <c r="P18" s="78">
        <f t="shared" si="6"/>
        <v>-4.3999999999999997E-2</v>
      </c>
      <c r="Q18" s="78">
        <f t="shared" si="6"/>
        <v>-0.15</v>
      </c>
      <c r="R18" s="78">
        <f t="shared" si="6"/>
        <v>-0.15</v>
      </c>
      <c r="S18" s="78">
        <f>+S6</f>
        <v>-0.1</v>
      </c>
      <c r="T18" s="78">
        <f>+T6</f>
        <v>-0.05</v>
      </c>
      <c r="U18" s="78">
        <f>+U6</f>
        <v>0</v>
      </c>
      <c r="V18" s="78">
        <f>+V6</f>
        <v>0</v>
      </c>
    </row>
    <row r="19" spans="1:22" s="111" customFormat="1" x14ac:dyDescent="0.2">
      <c r="A19" s="109"/>
      <c r="B19" s="110" t="s">
        <v>122</v>
      </c>
      <c r="C19" s="147"/>
      <c r="D19" s="107">
        <v>0.5</v>
      </c>
      <c r="E19" s="107">
        <v>0.55000000000000004</v>
      </c>
      <c r="F19" s="107">
        <v>0.56000000000000005</v>
      </c>
      <c r="G19" s="204">
        <v>0.54500000000000004</v>
      </c>
      <c r="H19" s="107">
        <v>0.54</v>
      </c>
      <c r="I19" s="107">
        <v>0.54</v>
      </c>
      <c r="J19" s="107">
        <v>0.53500000000000003</v>
      </c>
      <c r="K19" s="107">
        <v>0.53</v>
      </c>
      <c r="L19" s="107">
        <v>0.53</v>
      </c>
      <c r="M19" s="107">
        <v>0.53</v>
      </c>
      <c r="N19" s="107">
        <v>0.53</v>
      </c>
      <c r="O19" s="107">
        <v>0.53</v>
      </c>
      <c r="P19" s="107">
        <v>0.53</v>
      </c>
      <c r="Q19" s="107">
        <v>0.53</v>
      </c>
      <c r="R19" s="107">
        <v>0.53</v>
      </c>
      <c r="S19" s="107">
        <v>0.53</v>
      </c>
      <c r="T19" s="107">
        <v>0.53</v>
      </c>
      <c r="U19" s="107">
        <v>0.53</v>
      </c>
      <c r="V19" s="107">
        <v>0.53</v>
      </c>
    </row>
    <row r="20" spans="1:22" s="2" customFormat="1" x14ac:dyDescent="0.2">
      <c r="A20" s="31"/>
      <c r="B20" s="26" t="s">
        <v>77</v>
      </c>
      <c r="C20" s="145"/>
      <c r="D20" s="80">
        <f>+D17*D19</f>
        <v>111.65</v>
      </c>
      <c r="E20" s="80">
        <f>+E23-E15</f>
        <v>111.63999999999999</v>
      </c>
      <c r="F20" s="80">
        <f>+F23-F15</f>
        <v>109.32</v>
      </c>
      <c r="G20" s="205">
        <f t="shared" ref="G20:R20" si="7">+G17*G19</f>
        <v>95.756500000000003</v>
      </c>
      <c r="H20" s="80">
        <f t="shared" si="7"/>
        <v>90.703367999999998</v>
      </c>
      <c r="I20" s="80">
        <f t="shared" si="7"/>
        <v>86.712419807999979</v>
      </c>
      <c r="J20" s="80">
        <f t="shared" si="7"/>
        <v>82.129507842591991</v>
      </c>
      <c r="K20" s="80">
        <f t="shared" si="7"/>
        <v>77.782016885391599</v>
      </c>
      <c r="L20" s="80">
        <f t="shared" si="7"/>
        <v>74.359608142434368</v>
      </c>
      <c r="M20" s="80">
        <f t="shared" si="7"/>
        <v>71.087785384167248</v>
      </c>
      <c r="N20" s="80">
        <f t="shared" si="7"/>
        <v>67.959922827263881</v>
      </c>
      <c r="O20" s="80">
        <f t="shared" si="7"/>
        <v>64.969686222864269</v>
      </c>
      <c r="P20" s="80">
        <f t="shared" si="7"/>
        <v>62.111020029058238</v>
      </c>
      <c r="Q20" s="80">
        <f t="shared" si="7"/>
        <v>248.44408011623295</v>
      </c>
      <c r="R20" s="80">
        <f t="shared" si="7"/>
        <v>211.17746809879802</v>
      </c>
      <c r="S20" s="80">
        <f>+S17*S19</f>
        <v>190.05972128891821</v>
      </c>
      <c r="T20" s="80">
        <f>+T17*T19</f>
        <v>180.55673522447231</v>
      </c>
      <c r="U20" s="80">
        <f>+U17*U19</f>
        <v>180.55673522447231</v>
      </c>
      <c r="V20" s="80">
        <f>+V17*V19</f>
        <v>180.55673522447231</v>
      </c>
    </row>
    <row r="21" spans="1:22" s="2" customFormat="1" x14ac:dyDescent="0.2">
      <c r="A21" s="31"/>
      <c r="B21" s="73"/>
      <c r="C21" s="145"/>
      <c r="D21" s="38"/>
      <c r="E21" s="38"/>
      <c r="F21" s="38"/>
      <c r="G21" s="207"/>
      <c r="H21" s="38"/>
      <c r="I21" s="38"/>
      <c r="J21" s="38"/>
      <c r="K21" s="38"/>
      <c r="L21" s="38"/>
      <c r="M21" s="38"/>
      <c r="N21" s="38"/>
      <c r="O21" s="38"/>
      <c r="P21" s="38"/>
      <c r="Q21" s="38"/>
      <c r="R21" s="38"/>
      <c r="S21" s="38"/>
      <c r="T21" s="38"/>
      <c r="U21" s="38"/>
      <c r="V21" s="38"/>
    </row>
    <row r="22" spans="1:22" s="2" customFormat="1" x14ac:dyDescent="0.2">
      <c r="A22" s="31"/>
      <c r="B22" s="73" t="s">
        <v>80</v>
      </c>
      <c r="C22" s="145"/>
      <c r="D22" s="157">
        <f>+D12+D17</f>
        <v>313.3</v>
      </c>
      <c r="E22" s="157">
        <v>289.10000000000002</v>
      </c>
      <c r="F22" s="157">
        <v>286.5</v>
      </c>
      <c r="G22" s="202">
        <v>267.7</v>
      </c>
      <c r="H22" s="12">
        <f t="shared" ref="H22:R22" si="8">+H12+H17</f>
        <v>262.03919999999994</v>
      </c>
      <c r="I22" s="12">
        <f t="shared" si="8"/>
        <v>256.76513019999993</v>
      </c>
      <c r="J22" s="12">
        <f t="shared" si="8"/>
        <v>251.86387170869995</v>
      </c>
      <c r="K22" s="12">
        <f t="shared" si="8"/>
        <v>247.32218775386087</v>
      </c>
      <c r="L22" s="12">
        <f t="shared" si="8"/>
        <v>243.12749523704247</v>
      </c>
      <c r="M22" s="12">
        <f t="shared" si="8"/>
        <v>239.26783757521198</v>
      </c>
      <c r="N22" s="12">
        <f t="shared" si="8"/>
        <v>235.73185877339552</v>
      </c>
      <c r="O22" s="12">
        <f t="shared" si="8"/>
        <v>232.5087786750176</v>
      </c>
      <c r="P22" s="12">
        <f t="shared" si="8"/>
        <v>229.58836933894042</v>
      </c>
      <c r="Q22" s="12">
        <f t="shared" si="8"/>
        <v>918.3534773557617</v>
      </c>
      <c r="R22" s="12">
        <f t="shared" si="8"/>
        <v>915.47777436503179</v>
      </c>
      <c r="S22" s="12">
        <f>+S12+S17</f>
        <v>953.18742726563642</v>
      </c>
      <c r="T22" s="12">
        <f>+T12+T17</f>
        <v>1024.444891812494</v>
      </c>
      <c r="U22" s="12">
        <f>+U12+U17</f>
        <v>1127.0106627849891</v>
      </c>
      <c r="V22" s="12">
        <f>+V12+V17</f>
        <v>1244.9612994033582</v>
      </c>
    </row>
    <row r="23" spans="1:22" s="26" customFormat="1" ht="13.5" thickBot="1" x14ac:dyDescent="0.25">
      <c r="A23" s="32" t="s">
        <v>15</v>
      </c>
      <c r="B23" s="32" t="s">
        <v>112</v>
      </c>
      <c r="C23" s="148"/>
      <c r="D23" s="81">
        <f>+D15+D20</f>
        <v>147.11000000000001</v>
      </c>
      <c r="E23" s="81">
        <v>146</v>
      </c>
      <c r="F23" s="81">
        <v>145.19999999999999</v>
      </c>
      <c r="G23" s="208">
        <v>137.80000000000001</v>
      </c>
      <c r="H23" s="81">
        <f t="shared" ref="H23:R23" si="9">+H15+H20</f>
        <v>128.331368</v>
      </c>
      <c r="I23" s="81">
        <f t="shared" si="9"/>
        <v>125.18704980799998</v>
      </c>
      <c r="J23" s="81">
        <f t="shared" si="9"/>
        <v>121.46981701759199</v>
      </c>
      <c r="K23" s="81">
        <f t="shared" si="9"/>
        <v>118.0074830168291</v>
      </c>
      <c r="L23" s="81">
        <f t="shared" si="9"/>
        <v>115.49014726182921</v>
      </c>
      <c r="M23" s="81">
        <f t="shared" si="9"/>
        <v>113.14376163374847</v>
      </c>
      <c r="N23" s="81">
        <f t="shared" si="9"/>
        <v>110.96215854246068</v>
      </c>
      <c r="O23" s="81">
        <f t="shared" si="9"/>
        <v>108.93947224165299</v>
      </c>
      <c r="P23" s="81">
        <f t="shared" si="9"/>
        <v>107.0701262332697</v>
      </c>
      <c r="Q23" s="81">
        <f t="shared" si="9"/>
        <v>428.28050493307882</v>
      </c>
      <c r="R23" s="81">
        <f t="shared" si="9"/>
        <v>417.98935663817076</v>
      </c>
      <c r="S23" s="81">
        <f>+S15+S20</f>
        <v>427.89339310919684</v>
      </c>
      <c r="T23" s="81">
        <f>+T15+T20</f>
        <v>454.06545781779266</v>
      </c>
      <c r="U23" s="81">
        <f>+U15+U20</f>
        <v>495.09176620679068</v>
      </c>
      <c r="V23" s="81">
        <f>+V15+V20</f>
        <v>542.27202085413842</v>
      </c>
    </row>
    <row r="24" spans="1:22" s="26" customFormat="1" ht="13.5" thickTop="1" x14ac:dyDescent="0.2">
      <c r="A24" s="32"/>
      <c r="B24" s="26" t="s">
        <v>81</v>
      </c>
      <c r="C24" s="148" t="s">
        <v>125</v>
      </c>
      <c r="D24" s="83">
        <f>+D23/D22</f>
        <v>0.46954995212256628</v>
      </c>
      <c r="E24" s="241">
        <f>+E23/E22</f>
        <v>0.50501556554825311</v>
      </c>
      <c r="F24" s="241">
        <f>+F23/F22</f>
        <v>0.50680628272251305</v>
      </c>
      <c r="G24" s="242">
        <f t="shared" ref="G24:R24" si="10">+G23/G22</f>
        <v>0.51475532312289884</v>
      </c>
      <c r="H24" s="241">
        <f t="shared" si="10"/>
        <v>0.4897411074373606</v>
      </c>
      <c r="I24" s="240">
        <f t="shared" si="10"/>
        <v>0.48755471473283413</v>
      </c>
      <c r="J24" s="240">
        <f t="shared" si="10"/>
        <v>0.4822836089730298</v>
      </c>
      <c r="K24" s="240">
        <f t="shared" si="10"/>
        <v>0.4771407049587969</v>
      </c>
      <c r="L24" s="240">
        <f t="shared" si="10"/>
        <v>0.47501886674409066</v>
      </c>
      <c r="M24" s="251">
        <f t="shared" si="10"/>
        <v>0.47287492870069764</v>
      </c>
      <c r="N24" s="251">
        <f t="shared" si="10"/>
        <v>0.47071345858739638</v>
      </c>
      <c r="O24" s="251">
        <f t="shared" si="10"/>
        <v>0.46853917887513391</v>
      </c>
      <c r="P24" s="251">
        <f t="shared" si="10"/>
        <v>0.46635692627444247</v>
      </c>
      <c r="Q24" s="276">
        <f t="shared" si="10"/>
        <v>0.46635692627444247</v>
      </c>
      <c r="R24" s="241">
        <f t="shared" si="10"/>
        <v>0.45658056191269625</v>
      </c>
      <c r="S24" s="276">
        <f>+S23/S22</f>
        <v>0.44890792814659164</v>
      </c>
      <c r="T24" s="241">
        <f>+T23/T22</f>
        <v>0.44323073056125023</v>
      </c>
      <c r="U24" s="276">
        <f>+U23/U22</f>
        <v>0.43929643485657438</v>
      </c>
      <c r="V24" s="241">
        <f>+V23/V22</f>
        <v>0.435573395826858</v>
      </c>
    </row>
    <row r="25" spans="1:22" s="2" customFormat="1" x14ac:dyDescent="0.2">
      <c r="A25" s="31"/>
      <c r="B25" s="103"/>
      <c r="C25" s="145"/>
      <c r="D25" s="149"/>
      <c r="E25" s="149"/>
      <c r="F25" s="149"/>
      <c r="G25" s="201"/>
    </row>
    <row r="26" spans="1:22" s="26" customFormat="1" x14ac:dyDescent="0.2">
      <c r="A26" s="32"/>
      <c r="B26" s="25"/>
      <c r="C26" s="148"/>
      <c r="D26" s="38"/>
      <c r="E26" s="38"/>
      <c r="F26" s="38"/>
      <c r="G26" s="207"/>
      <c r="H26" s="38"/>
      <c r="I26" s="38"/>
      <c r="J26" s="38"/>
      <c r="K26" s="38"/>
      <c r="L26" s="38"/>
      <c r="M26" s="38"/>
      <c r="N26" s="38"/>
      <c r="O26" s="38"/>
      <c r="P26" s="38"/>
      <c r="Q26" s="38"/>
      <c r="R26" s="38"/>
      <c r="S26" s="38"/>
      <c r="T26" s="38"/>
      <c r="U26" s="38"/>
      <c r="V26" s="38"/>
    </row>
    <row r="27" spans="1:22" s="2" customFormat="1" x14ac:dyDescent="0.2">
      <c r="A27" s="31"/>
      <c r="B27" s="53" t="s">
        <v>47</v>
      </c>
      <c r="C27" s="149"/>
      <c r="D27" s="157"/>
      <c r="E27" s="157"/>
      <c r="F27" s="157"/>
      <c r="G27" s="202"/>
      <c r="H27" s="12"/>
      <c r="I27" s="12"/>
      <c r="J27" s="12"/>
      <c r="K27" s="12"/>
      <c r="L27" s="12"/>
      <c r="M27" s="12"/>
      <c r="N27" s="12"/>
      <c r="O27" s="12"/>
      <c r="P27" s="12"/>
      <c r="Q27" s="12"/>
      <c r="R27" s="12"/>
      <c r="S27" s="12"/>
      <c r="T27" s="12"/>
      <c r="U27" s="12"/>
      <c r="V27" s="12"/>
    </row>
    <row r="28" spans="1:22" s="2" customFormat="1" x14ac:dyDescent="0.2">
      <c r="A28" s="31"/>
      <c r="B28" s="25" t="s">
        <v>17</v>
      </c>
      <c r="C28" s="149"/>
      <c r="D28" s="157"/>
      <c r="E28" s="157"/>
      <c r="F28" s="157"/>
      <c r="G28" s="202"/>
      <c r="H28" s="12"/>
      <c r="I28" s="12"/>
      <c r="J28" s="12"/>
      <c r="K28" s="12"/>
      <c r="L28" s="12"/>
      <c r="M28" s="12"/>
      <c r="N28" s="12"/>
      <c r="O28" s="12"/>
      <c r="P28" s="12"/>
      <c r="Q28" s="12"/>
      <c r="R28" s="12"/>
      <c r="S28" s="12"/>
      <c r="T28" s="12"/>
      <c r="U28" s="12"/>
      <c r="V28" s="12"/>
    </row>
    <row r="29" spans="1:22" s="2" customFormat="1" x14ac:dyDescent="0.2">
      <c r="A29" s="31"/>
      <c r="B29" s="1" t="s">
        <v>89</v>
      </c>
      <c r="C29" s="149"/>
      <c r="D29" s="157">
        <v>3.3250000000000002</v>
      </c>
      <c r="E29" s="157">
        <v>2.0699999999999998</v>
      </c>
      <c r="F29" s="157">
        <v>1.7825</v>
      </c>
      <c r="G29" s="202">
        <v>1.4950000000000001</v>
      </c>
      <c r="H29" s="12">
        <v>1.2075</v>
      </c>
      <c r="I29" s="12"/>
      <c r="J29" s="12"/>
      <c r="K29" s="12"/>
      <c r="L29" s="12"/>
      <c r="M29" s="12"/>
      <c r="N29" s="12"/>
      <c r="O29" s="12"/>
      <c r="P29" s="12"/>
      <c r="Q29" s="12"/>
      <c r="R29" s="12"/>
      <c r="S29" s="12"/>
      <c r="T29" s="12"/>
      <c r="U29" s="12"/>
      <c r="V29" s="12"/>
    </row>
    <row r="30" spans="1:22" s="2" customFormat="1" x14ac:dyDescent="0.2">
      <c r="A30" s="31"/>
      <c r="B30" s="1" t="s">
        <v>90</v>
      </c>
      <c r="C30" s="149"/>
      <c r="D30" s="157"/>
      <c r="E30" s="157">
        <v>2.629</v>
      </c>
      <c r="F30" s="157">
        <v>2.629</v>
      </c>
      <c r="G30" s="202">
        <v>2.629</v>
      </c>
      <c r="H30" s="12">
        <v>2.629</v>
      </c>
      <c r="I30" s="12"/>
      <c r="J30" s="12"/>
      <c r="K30" s="12"/>
      <c r="L30" s="12"/>
      <c r="M30" s="12"/>
      <c r="N30" s="12"/>
      <c r="O30" s="12"/>
      <c r="P30" s="12"/>
      <c r="Q30" s="12"/>
      <c r="R30" s="12"/>
      <c r="S30" s="12"/>
      <c r="T30" s="12"/>
      <c r="U30" s="12"/>
      <c r="V30" s="12"/>
    </row>
    <row r="31" spans="1:22" s="2" customFormat="1" x14ac:dyDescent="0.2">
      <c r="A31" s="31"/>
      <c r="B31" s="1" t="s">
        <v>25</v>
      </c>
      <c r="C31" s="187"/>
      <c r="D31" s="157">
        <v>0</v>
      </c>
      <c r="E31" s="157">
        <v>0</v>
      </c>
      <c r="F31" s="157"/>
      <c r="G31" s="202"/>
      <c r="H31" s="12"/>
      <c r="I31" s="12"/>
      <c r="J31" s="12"/>
      <c r="K31" s="12"/>
      <c r="L31" s="12"/>
      <c r="M31" s="12"/>
      <c r="N31" s="12"/>
      <c r="O31" s="12"/>
      <c r="P31" s="12"/>
      <c r="Q31" s="12"/>
      <c r="R31" s="12"/>
      <c r="S31" s="12"/>
      <c r="T31" s="12"/>
      <c r="U31" s="12"/>
      <c r="V31" s="12"/>
    </row>
    <row r="32" spans="1:22" s="2" customFormat="1" x14ac:dyDescent="0.2">
      <c r="A32" s="31"/>
      <c r="B32" s="1" t="s">
        <v>34</v>
      </c>
      <c r="C32" s="149"/>
      <c r="D32" s="157">
        <v>2.875</v>
      </c>
      <c r="E32" s="157">
        <v>2.875</v>
      </c>
      <c r="F32" s="157">
        <v>2.875</v>
      </c>
      <c r="G32" s="202">
        <v>2.875</v>
      </c>
      <c r="H32" s="12">
        <v>2.875</v>
      </c>
      <c r="I32" s="12"/>
      <c r="J32" s="12"/>
      <c r="K32" s="12"/>
      <c r="L32" s="12"/>
      <c r="M32" s="12"/>
      <c r="N32" s="12"/>
      <c r="O32" s="12"/>
      <c r="P32" s="12"/>
      <c r="Q32" s="12"/>
      <c r="R32" s="12"/>
      <c r="S32" s="12"/>
      <c r="T32" s="12"/>
      <c r="U32" s="12"/>
      <c r="V32" s="12"/>
    </row>
    <row r="33" spans="1:22" s="2" customFormat="1" x14ac:dyDescent="0.2">
      <c r="A33" s="31"/>
      <c r="B33" s="1" t="s">
        <v>14</v>
      </c>
      <c r="C33" s="149"/>
      <c r="D33" s="157"/>
      <c r="E33" s="157"/>
      <c r="F33" s="157"/>
      <c r="G33" s="202"/>
      <c r="H33" s="12"/>
      <c r="I33" s="12"/>
      <c r="J33" s="12"/>
      <c r="K33" s="12"/>
      <c r="L33" s="12"/>
      <c r="M33" s="12"/>
      <c r="N33" s="12"/>
      <c r="O33" s="12"/>
      <c r="P33" s="12"/>
      <c r="Q33" s="12"/>
      <c r="R33" s="12"/>
      <c r="S33" s="12"/>
      <c r="T33" s="12"/>
      <c r="U33" s="12"/>
      <c r="V33" s="12"/>
    </row>
    <row r="34" spans="1:22" s="2" customFormat="1" x14ac:dyDescent="0.2">
      <c r="A34" s="31"/>
      <c r="B34" s="7" t="s">
        <v>27</v>
      </c>
      <c r="C34" s="149"/>
      <c r="D34" s="157">
        <v>2.1124999999999998</v>
      </c>
      <c r="E34" s="157">
        <v>2.1124999999999998</v>
      </c>
      <c r="F34" s="157">
        <v>2.1124999999999998</v>
      </c>
      <c r="G34" s="202">
        <v>2.1124999999999998</v>
      </c>
      <c r="H34" s="12">
        <v>2.1124999999999998</v>
      </c>
      <c r="I34" s="12"/>
      <c r="J34" s="12"/>
      <c r="K34" s="12"/>
      <c r="L34" s="12"/>
      <c r="M34" s="12"/>
      <c r="N34" s="12"/>
      <c r="O34" s="12"/>
      <c r="P34" s="12"/>
      <c r="Q34" s="12"/>
      <c r="R34" s="12"/>
      <c r="S34" s="12"/>
      <c r="T34" s="12"/>
      <c r="U34" s="12"/>
      <c r="V34" s="12"/>
    </row>
    <row r="35" spans="1:22" s="2" customFormat="1" x14ac:dyDescent="0.2">
      <c r="A35" s="31"/>
      <c r="B35" s="1" t="s">
        <v>26</v>
      </c>
      <c r="C35" s="149"/>
      <c r="D35" s="157">
        <v>2.140625</v>
      </c>
      <c r="E35" s="157">
        <v>2.140625</v>
      </c>
      <c r="F35" s="157">
        <v>2.140625</v>
      </c>
      <c r="G35" s="202">
        <v>2.140625</v>
      </c>
      <c r="H35" s="12">
        <v>2.140625</v>
      </c>
      <c r="I35" s="12"/>
      <c r="J35" s="12"/>
      <c r="K35" s="12"/>
      <c r="L35" s="12"/>
      <c r="M35" s="12"/>
      <c r="N35" s="12"/>
      <c r="O35" s="12"/>
      <c r="P35" s="12"/>
      <c r="Q35" s="12"/>
      <c r="R35" s="12"/>
      <c r="S35" s="12"/>
      <c r="T35" s="12"/>
      <c r="U35" s="12"/>
      <c r="V35" s="12"/>
    </row>
    <row r="36" spans="1:22" s="2" customFormat="1" x14ac:dyDescent="0.2">
      <c r="A36" s="31"/>
      <c r="B36" s="1" t="s">
        <v>28</v>
      </c>
      <c r="C36" s="149"/>
      <c r="D36" s="157">
        <v>3.6401249999999998</v>
      </c>
      <c r="E36" s="157">
        <v>3.6401249999999998</v>
      </c>
      <c r="F36" s="157">
        <v>3.6401249999999998</v>
      </c>
      <c r="G36" s="202">
        <v>3.6401249999999998</v>
      </c>
      <c r="H36" s="12">
        <v>3.6401249999999998</v>
      </c>
      <c r="I36" s="12"/>
      <c r="J36" s="12"/>
      <c r="K36" s="12"/>
      <c r="L36" s="12"/>
      <c r="M36" s="12"/>
      <c r="N36" s="12"/>
      <c r="O36" s="12"/>
      <c r="P36" s="12"/>
      <c r="Q36" s="12"/>
      <c r="R36" s="12"/>
      <c r="S36" s="12"/>
      <c r="T36" s="12"/>
      <c r="U36" s="12"/>
      <c r="V36" s="12"/>
    </row>
    <row r="37" spans="1:22" s="2" customFormat="1" x14ac:dyDescent="0.2">
      <c r="A37" s="31"/>
      <c r="B37" s="1" t="s">
        <v>29</v>
      </c>
      <c r="C37" s="149"/>
      <c r="D37" s="157">
        <v>2.5185</v>
      </c>
      <c r="E37" s="157">
        <v>2.5185</v>
      </c>
      <c r="F37" s="157">
        <v>2.5185</v>
      </c>
      <c r="G37" s="202">
        <v>2.5185</v>
      </c>
      <c r="H37" s="12">
        <v>2.5185</v>
      </c>
      <c r="I37" s="12"/>
      <c r="J37" s="12"/>
      <c r="K37" s="12"/>
      <c r="L37" s="12"/>
      <c r="M37" s="12"/>
      <c r="N37" s="12"/>
      <c r="O37" s="12"/>
      <c r="P37" s="12"/>
      <c r="Q37" s="12"/>
      <c r="R37" s="12"/>
      <c r="S37" s="12"/>
      <c r="T37" s="12"/>
      <c r="U37" s="12"/>
      <c r="V37" s="12"/>
    </row>
    <row r="38" spans="1:22" s="2" customFormat="1" x14ac:dyDescent="0.2">
      <c r="A38" s="31"/>
      <c r="B38" s="1" t="s">
        <v>30</v>
      </c>
      <c r="C38" s="149"/>
      <c r="D38" s="157">
        <v>4.2</v>
      </c>
      <c r="E38" s="157">
        <v>4.2</v>
      </c>
      <c r="F38" s="157">
        <v>4.2</v>
      </c>
      <c r="G38" s="202">
        <v>4.2</v>
      </c>
      <c r="H38" s="12">
        <v>4.2</v>
      </c>
      <c r="I38" s="12"/>
      <c r="J38" s="12"/>
      <c r="K38" s="12"/>
      <c r="L38" s="12"/>
      <c r="M38" s="12"/>
      <c r="N38" s="12"/>
      <c r="O38" s="12"/>
      <c r="P38" s="12"/>
      <c r="Q38" s="12"/>
      <c r="R38" s="12"/>
      <c r="S38" s="12"/>
      <c r="T38" s="12"/>
      <c r="U38" s="12"/>
      <c r="V38" s="12"/>
    </row>
    <row r="39" spans="1:22" s="2" customFormat="1" x14ac:dyDescent="0.2">
      <c r="A39" s="31"/>
      <c r="B39" s="1" t="s">
        <v>31</v>
      </c>
      <c r="C39" s="149"/>
      <c r="D39" s="157">
        <v>1.769625</v>
      </c>
      <c r="E39" s="157">
        <v>1.769625</v>
      </c>
      <c r="F39" s="157">
        <v>1.769625</v>
      </c>
      <c r="G39" s="202">
        <v>1.769625</v>
      </c>
      <c r="H39" s="12">
        <v>1.769625</v>
      </c>
      <c r="I39" s="12"/>
      <c r="J39" s="12"/>
      <c r="K39" s="12"/>
      <c r="L39" s="12"/>
      <c r="M39" s="12"/>
      <c r="N39" s="12"/>
      <c r="O39" s="12"/>
      <c r="P39" s="12"/>
      <c r="Q39" s="12"/>
      <c r="R39" s="12"/>
      <c r="S39" s="12"/>
      <c r="T39" s="12"/>
      <c r="U39" s="12"/>
      <c r="V39" s="12"/>
    </row>
    <row r="40" spans="1:22" s="2" customFormat="1" x14ac:dyDescent="0.2">
      <c r="A40" s="31"/>
      <c r="B40" s="1" t="s">
        <v>32</v>
      </c>
      <c r="C40" s="149"/>
      <c r="D40" s="157">
        <v>5.8125</v>
      </c>
      <c r="E40" s="157">
        <v>5.8125</v>
      </c>
      <c r="F40" s="157">
        <v>5.8125</v>
      </c>
      <c r="G40" s="202">
        <v>5.8125</v>
      </c>
      <c r="H40" s="12">
        <v>5.8125</v>
      </c>
      <c r="I40" s="12"/>
      <c r="J40" s="12"/>
      <c r="K40" s="12"/>
      <c r="L40" s="12"/>
      <c r="M40" s="12"/>
      <c r="N40" s="12"/>
      <c r="O40" s="12"/>
      <c r="P40" s="12"/>
      <c r="Q40" s="12"/>
      <c r="R40" s="12"/>
      <c r="S40" s="12"/>
      <c r="T40" s="12"/>
      <c r="U40" s="12"/>
      <c r="V40" s="12"/>
    </row>
    <row r="41" spans="1:22" s="2" customFormat="1" x14ac:dyDescent="0.2">
      <c r="A41" s="31"/>
      <c r="B41" s="1" t="s">
        <v>33</v>
      </c>
      <c r="C41" s="149"/>
      <c r="D41" s="157">
        <v>0.265625</v>
      </c>
      <c r="E41" s="157">
        <v>0.265625</v>
      </c>
      <c r="F41" s="157">
        <v>0.265625</v>
      </c>
      <c r="G41" s="202">
        <v>0.265625</v>
      </c>
      <c r="H41" s="12">
        <v>0.265625</v>
      </c>
      <c r="I41" s="12"/>
      <c r="J41" s="12"/>
      <c r="K41" s="12"/>
      <c r="L41" s="12"/>
      <c r="M41" s="12"/>
      <c r="N41" s="12"/>
      <c r="O41" s="12"/>
      <c r="P41" s="12"/>
      <c r="Q41" s="12"/>
      <c r="R41" s="12"/>
      <c r="S41" s="12"/>
      <c r="T41" s="12"/>
      <c r="U41" s="12"/>
      <c r="V41" s="12"/>
    </row>
    <row r="42" spans="1:22" s="2" customFormat="1" x14ac:dyDescent="0.2">
      <c r="A42" s="31"/>
      <c r="B42" s="19" t="s">
        <v>101</v>
      </c>
      <c r="C42" s="149"/>
      <c r="D42" s="157">
        <f>35.6-28.7</f>
        <v>6.9000000000000021</v>
      </c>
      <c r="E42" s="157">
        <f>32.9-30</f>
        <v>2.8999999999999986</v>
      </c>
      <c r="F42" s="157">
        <v>-2.7</v>
      </c>
      <c r="G42" s="202">
        <v>5.47</v>
      </c>
      <c r="H42" s="12"/>
      <c r="I42" s="12"/>
      <c r="J42" s="12"/>
      <c r="K42" s="12"/>
      <c r="L42" s="12"/>
      <c r="M42" s="12"/>
      <c r="N42" s="12"/>
      <c r="O42" s="12"/>
      <c r="P42" s="12"/>
      <c r="Q42" s="12"/>
      <c r="R42" s="12"/>
      <c r="S42" s="12"/>
      <c r="T42" s="12"/>
      <c r="U42" s="12"/>
      <c r="V42" s="12"/>
    </row>
    <row r="43" spans="1:22" s="2" customFormat="1" x14ac:dyDescent="0.2">
      <c r="A43" s="31"/>
      <c r="B43" s="19"/>
      <c r="C43" s="149"/>
      <c r="D43" s="157"/>
      <c r="E43" s="157"/>
      <c r="F43" s="157"/>
      <c r="G43" s="202"/>
      <c r="H43" s="12"/>
      <c r="I43" s="12"/>
      <c r="J43" s="12"/>
      <c r="K43" s="12"/>
      <c r="L43" s="12"/>
      <c r="M43" s="12"/>
      <c r="N43" s="12"/>
      <c r="O43" s="12"/>
      <c r="P43" s="12"/>
      <c r="Q43" s="12"/>
      <c r="R43" s="12"/>
      <c r="S43" s="12"/>
      <c r="T43" s="12"/>
      <c r="U43" s="12"/>
      <c r="V43" s="12"/>
    </row>
    <row r="44" spans="1:22" s="2" customFormat="1" x14ac:dyDescent="0.2">
      <c r="A44" s="31"/>
      <c r="B44" s="19" t="s">
        <v>134</v>
      </c>
      <c r="C44" s="149"/>
      <c r="D44" s="157"/>
      <c r="E44" s="157"/>
      <c r="F44" s="157"/>
      <c r="G44" s="202"/>
      <c r="H44" s="12"/>
      <c r="I44" s="12">
        <f>(+H94-107.5)*(0.0925/4)</f>
        <v>18.493062500000001</v>
      </c>
      <c r="J44" s="12">
        <f t="shared" ref="J44:P44" si="11">(+I94-107.5)*(0.0925/4)</f>
        <v>18.493062500000001</v>
      </c>
      <c r="K44" s="12">
        <f t="shared" si="11"/>
        <v>17.336812500000001</v>
      </c>
      <c r="L44" s="12">
        <f t="shared" si="11"/>
        <v>17.336812500000001</v>
      </c>
      <c r="M44" s="12">
        <f t="shared" si="11"/>
        <v>15.367474347059259</v>
      </c>
      <c r="N44" s="12">
        <f t="shared" si="11"/>
        <v>15.367474347059259</v>
      </c>
      <c r="O44" s="12">
        <f t="shared" si="11"/>
        <v>13.757460589655269</v>
      </c>
      <c r="P44" s="12">
        <f t="shared" si="11"/>
        <v>13.757460589655269</v>
      </c>
      <c r="Q44" s="12">
        <f>(+P94-107.5)*(0.0925)</f>
        <v>48.045396584207765</v>
      </c>
      <c r="R44" s="12">
        <f>(+Q94-107.5)*(0.0925)</f>
        <v>34.731485525973206</v>
      </c>
      <c r="S44" s="12">
        <f>(+R94-107.5)*(0.0925)</f>
        <v>21.755924884270275</v>
      </c>
      <c r="T44" s="12">
        <f>(+S94-107.5)*(0.0925)</f>
        <v>8.5706600758615732</v>
      </c>
      <c r="U44" s="12"/>
      <c r="V44" s="12"/>
    </row>
    <row r="45" spans="1:22" s="2" customFormat="1" x14ac:dyDescent="0.2">
      <c r="A45" s="31"/>
      <c r="B45" s="19" t="s">
        <v>135</v>
      </c>
      <c r="C45" s="149"/>
      <c r="D45" s="157"/>
      <c r="E45" s="157"/>
      <c r="F45" s="157"/>
      <c r="G45" s="202"/>
      <c r="H45" s="12"/>
      <c r="I45" s="12">
        <f>107.5*0.08/4</f>
        <v>2.15</v>
      </c>
      <c r="J45" s="12">
        <f t="shared" ref="J45:P45" si="12">107.5*0.08/4</f>
        <v>2.15</v>
      </c>
      <c r="K45" s="12">
        <f t="shared" si="12"/>
        <v>2.15</v>
      </c>
      <c r="L45" s="12">
        <f t="shared" si="12"/>
        <v>2.15</v>
      </c>
      <c r="M45" s="12">
        <f t="shared" si="12"/>
        <v>2.15</v>
      </c>
      <c r="N45" s="12">
        <f t="shared" si="12"/>
        <v>2.15</v>
      </c>
      <c r="O45" s="12">
        <f t="shared" si="12"/>
        <v>2.15</v>
      </c>
      <c r="P45" s="12">
        <f t="shared" si="12"/>
        <v>2.15</v>
      </c>
      <c r="Q45" s="12">
        <f t="shared" ref="Q45:V45" si="13">107.5*0.08</f>
        <v>8.6</v>
      </c>
      <c r="R45" s="12">
        <f t="shared" si="13"/>
        <v>8.6</v>
      </c>
      <c r="S45" s="12">
        <f t="shared" si="13"/>
        <v>8.6</v>
      </c>
      <c r="T45" s="12">
        <f t="shared" si="13"/>
        <v>8.6</v>
      </c>
      <c r="U45" s="12">
        <f t="shared" si="13"/>
        <v>8.6</v>
      </c>
      <c r="V45" s="12">
        <f t="shared" si="13"/>
        <v>8.6</v>
      </c>
    </row>
    <row r="46" spans="1:22" s="2" customFormat="1" x14ac:dyDescent="0.2">
      <c r="A46" s="31"/>
      <c r="B46" s="19"/>
      <c r="C46" s="149"/>
      <c r="D46" s="157"/>
      <c r="E46" s="157"/>
      <c r="F46" s="157"/>
      <c r="G46" s="202"/>
      <c r="H46" s="12"/>
      <c r="I46" s="12"/>
      <c r="J46" s="12"/>
      <c r="K46" s="12"/>
      <c r="L46" s="12"/>
      <c r="M46" s="12"/>
      <c r="N46" s="12"/>
      <c r="O46" s="12"/>
      <c r="P46" s="12"/>
      <c r="Q46" s="12"/>
      <c r="R46" s="12"/>
      <c r="S46" s="12"/>
      <c r="T46" s="12"/>
      <c r="U46" s="12"/>
      <c r="V46" s="12"/>
    </row>
    <row r="47" spans="1:22" s="2" customFormat="1" x14ac:dyDescent="0.2">
      <c r="A47" s="31" t="s">
        <v>119</v>
      </c>
      <c r="B47" s="19" t="s">
        <v>115</v>
      </c>
      <c r="C47" s="149"/>
      <c r="D47" s="157"/>
      <c r="E47" s="157">
        <v>1.9</v>
      </c>
      <c r="F47" s="157">
        <f>7.4-E47</f>
        <v>5.5</v>
      </c>
      <c r="G47" s="202"/>
      <c r="H47" s="12"/>
      <c r="I47" s="12"/>
      <c r="J47" s="12"/>
      <c r="K47" s="12"/>
      <c r="L47" s="12"/>
      <c r="M47" s="12"/>
      <c r="N47" s="12"/>
      <c r="O47" s="12"/>
      <c r="P47" s="12"/>
      <c r="Q47" s="12"/>
      <c r="R47" s="12"/>
      <c r="S47" s="12"/>
      <c r="T47" s="12"/>
      <c r="U47" s="12"/>
      <c r="V47" s="12"/>
    </row>
    <row r="48" spans="1:22" s="2" customFormat="1" x14ac:dyDescent="0.2">
      <c r="A48" s="31"/>
      <c r="B48" s="25"/>
      <c r="C48" s="149"/>
      <c r="D48" s="157"/>
      <c r="E48" s="157"/>
      <c r="F48" s="157"/>
      <c r="G48" s="202"/>
      <c r="H48" s="12"/>
      <c r="I48" s="12"/>
      <c r="J48" s="12"/>
      <c r="K48" s="12"/>
      <c r="L48" s="12"/>
      <c r="M48" s="12"/>
      <c r="N48" s="12"/>
      <c r="O48" s="12"/>
      <c r="P48" s="12"/>
      <c r="Q48" s="12"/>
      <c r="R48" s="12"/>
      <c r="S48" s="12"/>
      <c r="T48" s="12"/>
      <c r="U48" s="12"/>
      <c r="V48" s="12"/>
    </row>
    <row r="49" spans="1:22" s="2" customFormat="1" x14ac:dyDescent="0.2">
      <c r="A49" s="31"/>
      <c r="B49" s="25" t="s">
        <v>117</v>
      </c>
      <c r="C49" s="149"/>
      <c r="D49" s="157">
        <v>27.3</v>
      </c>
      <c r="E49" s="192">
        <v>29.8</v>
      </c>
      <c r="F49" s="157">
        <v>31.7</v>
      </c>
      <c r="G49" s="202">
        <v>5.6</v>
      </c>
      <c r="H49" s="12">
        <v>31.7</v>
      </c>
      <c r="I49" s="12">
        <v>35</v>
      </c>
      <c r="J49" s="12">
        <f t="shared" ref="J49:P49" si="14">+I49</f>
        <v>35</v>
      </c>
      <c r="K49" s="12">
        <f t="shared" si="14"/>
        <v>35</v>
      </c>
      <c r="L49" s="12">
        <f t="shared" si="14"/>
        <v>35</v>
      </c>
      <c r="M49" s="12">
        <f t="shared" si="14"/>
        <v>35</v>
      </c>
      <c r="N49" s="12">
        <f t="shared" si="14"/>
        <v>35</v>
      </c>
      <c r="O49" s="12">
        <f t="shared" si="14"/>
        <v>35</v>
      </c>
      <c r="P49" s="12">
        <f t="shared" si="14"/>
        <v>35</v>
      </c>
      <c r="Q49" s="12">
        <f>+P49*4</f>
        <v>140</v>
      </c>
      <c r="R49" s="12">
        <f>+Q49</f>
        <v>140</v>
      </c>
      <c r="S49" s="12">
        <f>+R49</f>
        <v>140</v>
      </c>
      <c r="T49" s="12">
        <f>+S49</f>
        <v>140</v>
      </c>
      <c r="U49" s="12">
        <f>+T49</f>
        <v>140</v>
      </c>
      <c r="V49" s="12">
        <f>+U49</f>
        <v>140</v>
      </c>
    </row>
    <row r="50" spans="1:22" s="2" customFormat="1" x14ac:dyDescent="0.2">
      <c r="A50" s="31"/>
      <c r="C50" s="149"/>
      <c r="D50" s="157"/>
      <c r="E50" s="157"/>
      <c r="F50" s="157"/>
      <c r="G50" s="202"/>
      <c r="H50" s="12"/>
      <c r="I50" s="12"/>
      <c r="J50" s="12"/>
      <c r="K50" s="12"/>
      <c r="L50" s="12"/>
      <c r="M50" s="12"/>
      <c r="N50" s="12"/>
      <c r="O50" s="12"/>
      <c r="P50" s="12"/>
      <c r="Q50" s="12"/>
      <c r="R50" s="12"/>
      <c r="S50" s="12"/>
      <c r="T50" s="12"/>
      <c r="U50" s="12"/>
      <c r="V50" s="12"/>
    </row>
    <row r="51" spans="1:22" s="2" customFormat="1" x14ac:dyDescent="0.2">
      <c r="A51" s="31"/>
      <c r="B51" s="25" t="s">
        <v>71</v>
      </c>
      <c r="C51" s="149"/>
      <c r="D51" s="157">
        <v>14.7</v>
      </c>
      <c r="E51" s="157">
        <v>8.1999999999999993</v>
      </c>
      <c r="F51" s="157">
        <f>16.9-E51</f>
        <v>8.6999999999999993</v>
      </c>
      <c r="G51" s="202">
        <f>-SUM(E51:F51)+24.8</f>
        <v>7.9000000000000021</v>
      </c>
      <c r="H51" s="12">
        <f t="shared" ref="H51:P51" si="15">+G51</f>
        <v>7.9000000000000021</v>
      </c>
      <c r="I51" s="12">
        <f t="shared" si="15"/>
        <v>7.9000000000000021</v>
      </c>
      <c r="J51" s="12">
        <f t="shared" si="15"/>
        <v>7.9000000000000021</v>
      </c>
      <c r="K51" s="12">
        <f t="shared" si="15"/>
        <v>7.9000000000000021</v>
      </c>
      <c r="L51" s="12">
        <f t="shared" si="15"/>
        <v>7.9000000000000021</v>
      </c>
      <c r="M51" s="12">
        <f t="shared" si="15"/>
        <v>7.9000000000000021</v>
      </c>
      <c r="N51" s="12">
        <f t="shared" si="15"/>
        <v>7.9000000000000021</v>
      </c>
      <c r="O51" s="12">
        <f t="shared" si="15"/>
        <v>7.9000000000000021</v>
      </c>
      <c r="P51" s="12">
        <f t="shared" si="15"/>
        <v>7.9000000000000021</v>
      </c>
      <c r="Q51" s="12">
        <f>+P51*4</f>
        <v>31.600000000000009</v>
      </c>
      <c r="R51" s="12">
        <f>+Q51</f>
        <v>31.600000000000009</v>
      </c>
      <c r="S51" s="12">
        <f>+R51</f>
        <v>31.600000000000009</v>
      </c>
      <c r="T51" s="12">
        <f>+S51</f>
        <v>31.600000000000009</v>
      </c>
      <c r="U51" s="12">
        <f>+T51</f>
        <v>31.600000000000009</v>
      </c>
      <c r="V51" s="12">
        <f>+U51</f>
        <v>31.600000000000009</v>
      </c>
    </row>
    <row r="52" spans="1:22" s="2" customFormat="1" x14ac:dyDescent="0.2">
      <c r="A52" s="31" t="s">
        <v>119</v>
      </c>
      <c r="B52" s="25" t="s">
        <v>116</v>
      </c>
      <c r="C52" s="149"/>
      <c r="D52" s="157">
        <v>0</v>
      </c>
      <c r="E52" s="157">
        <v>13.036</v>
      </c>
      <c r="F52" s="157">
        <v>0</v>
      </c>
      <c r="G52" s="202">
        <v>3.6</v>
      </c>
      <c r="H52" s="12">
        <v>0</v>
      </c>
      <c r="I52" s="27">
        <v>13</v>
      </c>
      <c r="J52" s="12">
        <v>0</v>
      </c>
      <c r="K52" s="12">
        <v>0</v>
      </c>
      <c r="L52" s="12">
        <v>0</v>
      </c>
      <c r="M52" s="27">
        <v>13</v>
      </c>
      <c r="N52" s="12">
        <v>0</v>
      </c>
      <c r="O52" s="12">
        <v>0</v>
      </c>
      <c r="P52" s="12">
        <v>0</v>
      </c>
      <c r="Q52" s="27">
        <v>13</v>
      </c>
      <c r="R52" s="27">
        <v>13</v>
      </c>
      <c r="S52" s="12">
        <v>0</v>
      </c>
      <c r="T52" s="12">
        <v>0</v>
      </c>
      <c r="U52" s="12">
        <v>0</v>
      </c>
      <c r="V52" s="12">
        <v>0</v>
      </c>
    </row>
    <row r="53" spans="1:22" s="2" customFormat="1" x14ac:dyDescent="0.2">
      <c r="A53" s="31" t="s">
        <v>119</v>
      </c>
      <c r="B53" s="25" t="s">
        <v>118</v>
      </c>
      <c r="C53" s="149"/>
      <c r="D53" s="157"/>
      <c r="E53" s="157">
        <f>42.736+(315.3-310.1)</f>
        <v>47.935999999999986</v>
      </c>
      <c r="F53" s="157">
        <f>30.4-E53-0.7</f>
        <v>-18.235999999999986</v>
      </c>
      <c r="G53" s="202">
        <f>-SUM(E53:F53)+43.577</f>
        <v>13.876999999999999</v>
      </c>
      <c r="H53" s="12"/>
      <c r="I53" s="12"/>
      <c r="J53" s="12"/>
      <c r="K53" s="12"/>
      <c r="L53" s="12"/>
      <c r="M53" s="12"/>
      <c r="N53" s="12"/>
      <c r="O53" s="12"/>
      <c r="P53" s="12"/>
      <c r="Q53" s="12"/>
      <c r="R53" s="12"/>
      <c r="S53" s="12"/>
      <c r="T53" s="12"/>
      <c r="U53" s="12"/>
      <c r="V53" s="12"/>
    </row>
    <row r="54" spans="1:22" s="2" customFormat="1" x14ac:dyDescent="0.2">
      <c r="A54" s="31"/>
      <c r="B54" s="25"/>
      <c r="C54" s="149"/>
      <c r="D54" s="157"/>
      <c r="E54" s="157"/>
      <c r="F54" s="157"/>
      <c r="G54" s="202"/>
      <c r="H54" s="12"/>
      <c r="I54" s="12"/>
      <c r="J54" s="12"/>
      <c r="K54" s="12"/>
      <c r="L54" s="12"/>
      <c r="M54" s="12"/>
      <c r="N54" s="12"/>
      <c r="O54" s="12"/>
      <c r="P54" s="12"/>
      <c r="Q54" s="12"/>
      <c r="R54" s="12"/>
      <c r="S54" s="12"/>
      <c r="T54" s="12"/>
      <c r="U54" s="12"/>
      <c r="V54" s="12"/>
    </row>
    <row r="55" spans="1:22" s="2" customFormat="1" x14ac:dyDescent="0.2">
      <c r="A55" s="31"/>
      <c r="B55" s="25" t="s">
        <v>132</v>
      </c>
      <c r="C55" s="149"/>
      <c r="D55" s="157"/>
      <c r="E55" s="157"/>
      <c r="F55" s="157"/>
      <c r="G55" s="202">
        <v>26.8</v>
      </c>
      <c r="H55" s="12"/>
      <c r="I55" s="12"/>
      <c r="J55" s="12"/>
      <c r="K55" s="12"/>
      <c r="L55" s="12"/>
      <c r="M55" s="12"/>
      <c r="N55" s="12"/>
      <c r="O55" s="12"/>
      <c r="P55" s="12"/>
      <c r="Q55" s="12"/>
      <c r="R55" s="12"/>
      <c r="S55" s="12"/>
      <c r="T55" s="12"/>
      <c r="U55" s="12"/>
      <c r="V55" s="12"/>
    </row>
    <row r="56" spans="1:22" s="2" customFormat="1" x14ac:dyDescent="0.2">
      <c r="A56" s="31"/>
      <c r="B56" s="25" t="s">
        <v>131</v>
      </c>
      <c r="C56" s="149"/>
      <c r="D56" s="157"/>
      <c r="E56" s="157"/>
      <c r="F56" s="157"/>
      <c r="G56" s="202">
        <v>16.305</v>
      </c>
      <c r="H56" s="12">
        <f>50-G56</f>
        <v>33.695</v>
      </c>
      <c r="I56" s="12"/>
      <c r="J56" s="12"/>
      <c r="K56" s="12"/>
      <c r="L56" s="12"/>
      <c r="M56" s="12"/>
      <c r="N56" s="12"/>
      <c r="O56" s="12"/>
      <c r="P56" s="12"/>
      <c r="Q56" s="12"/>
      <c r="R56" s="12"/>
      <c r="S56" s="12"/>
      <c r="T56" s="12"/>
      <c r="U56" s="12"/>
      <c r="V56" s="12"/>
    </row>
    <row r="57" spans="1:22" s="2" customFormat="1" x14ac:dyDescent="0.2">
      <c r="A57" s="31"/>
      <c r="B57" s="25" t="s">
        <v>102</v>
      </c>
      <c r="C57" s="149"/>
      <c r="D57" s="157">
        <v>2.9</v>
      </c>
      <c r="E57" s="157">
        <v>0</v>
      </c>
      <c r="F57" s="157"/>
      <c r="G57" s="202"/>
      <c r="H57" s="12"/>
      <c r="I57" s="12"/>
      <c r="J57" s="12"/>
      <c r="K57" s="12"/>
      <c r="L57" s="12"/>
      <c r="M57" s="12"/>
      <c r="N57" s="12"/>
      <c r="O57" s="12"/>
      <c r="P57" s="12"/>
      <c r="Q57" s="12"/>
      <c r="R57" s="12"/>
      <c r="S57" s="12"/>
      <c r="T57" s="12"/>
      <c r="U57" s="12"/>
      <c r="V57" s="12"/>
    </row>
    <row r="58" spans="1:22" s="2" customFormat="1" x14ac:dyDescent="0.2">
      <c r="A58" s="31"/>
      <c r="B58" s="2" t="s">
        <v>103</v>
      </c>
      <c r="C58" s="149"/>
      <c r="D58" s="157">
        <v>0.5</v>
      </c>
      <c r="E58" s="157"/>
      <c r="F58" s="157"/>
      <c r="G58" s="202">
        <v>-1.6</v>
      </c>
      <c r="H58" s="12"/>
      <c r="I58" s="12"/>
      <c r="J58" s="12"/>
      <c r="K58" s="12"/>
      <c r="L58" s="12"/>
      <c r="M58" s="12"/>
      <c r="N58" s="12"/>
      <c r="O58" s="12"/>
      <c r="P58" s="12"/>
      <c r="Q58" s="12"/>
      <c r="R58" s="12"/>
      <c r="S58" s="12"/>
      <c r="T58" s="12"/>
      <c r="U58" s="12"/>
      <c r="V58" s="12"/>
    </row>
    <row r="59" spans="1:22" s="2" customFormat="1" x14ac:dyDescent="0.2">
      <c r="A59" s="31"/>
      <c r="B59" s="25" t="s">
        <v>19</v>
      </c>
      <c r="C59" s="150" t="s">
        <v>107</v>
      </c>
      <c r="D59" s="157">
        <v>10</v>
      </c>
      <c r="E59" s="157">
        <v>0</v>
      </c>
      <c r="F59" s="157">
        <v>0</v>
      </c>
      <c r="G59" s="202">
        <f t="shared" ref="G59:P59" si="16">+F59</f>
        <v>0</v>
      </c>
      <c r="H59" s="12">
        <f t="shared" si="16"/>
        <v>0</v>
      </c>
      <c r="I59" s="12">
        <f t="shared" si="16"/>
        <v>0</v>
      </c>
      <c r="J59" s="12">
        <f t="shared" si="16"/>
        <v>0</v>
      </c>
      <c r="K59" s="12">
        <f t="shared" si="16"/>
        <v>0</v>
      </c>
      <c r="L59" s="12">
        <f t="shared" si="16"/>
        <v>0</v>
      </c>
      <c r="M59" s="12">
        <f t="shared" si="16"/>
        <v>0</v>
      </c>
      <c r="N59" s="12">
        <f t="shared" si="16"/>
        <v>0</v>
      </c>
      <c r="O59" s="12">
        <f t="shared" si="16"/>
        <v>0</v>
      </c>
      <c r="P59" s="12">
        <f t="shared" si="16"/>
        <v>0</v>
      </c>
      <c r="Q59" s="12">
        <f>+P59*4</f>
        <v>0</v>
      </c>
      <c r="R59" s="12">
        <f>+Q59</f>
        <v>0</v>
      </c>
      <c r="S59" s="12">
        <f>+R59</f>
        <v>0</v>
      </c>
      <c r="T59" s="12">
        <f>+S59</f>
        <v>0</v>
      </c>
      <c r="U59" s="12">
        <f>+T59</f>
        <v>0</v>
      </c>
      <c r="V59" s="12">
        <f>+U59</f>
        <v>0</v>
      </c>
    </row>
    <row r="60" spans="1:22" s="2" customFormat="1" x14ac:dyDescent="0.2">
      <c r="A60" s="31"/>
      <c r="C60" s="150"/>
      <c r="D60" s="13"/>
      <c r="E60" s="13"/>
      <c r="F60" s="13"/>
      <c r="G60" s="210"/>
      <c r="H60" s="13"/>
      <c r="I60" s="13"/>
      <c r="J60" s="13"/>
      <c r="K60" s="13"/>
      <c r="L60" s="13"/>
      <c r="M60" s="13"/>
      <c r="N60" s="13"/>
      <c r="O60" s="13"/>
      <c r="P60" s="13"/>
      <c r="Q60" s="13"/>
      <c r="R60" s="13"/>
      <c r="S60" s="13"/>
      <c r="T60" s="13"/>
      <c r="U60" s="13"/>
      <c r="V60" s="13"/>
    </row>
    <row r="61" spans="1:22" s="26" customFormat="1" x14ac:dyDescent="0.2">
      <c r="A61" s="32" t="s">
        <v>40</v>
      </c>
      <c r="B61" s="25" t="s">
        <v>21</v>
      </c>
      <c r="C61" s="151"/>
      <c r="D61" s="38">
        <f>SUM(D28:D60)</f>
        <v>90.959500000000006</v>
      </c>
      <c r="E61" s="38">
        <f>SUM(E28:E60)</f>
        <v>133.80549999999999</v>
      </c>
      <c r="F61" s="38">
        <f t="shared" ref="F61:R61" si="17">SUM(F28:F60)</f>
        <v>54.710000000000022</v>
      </c>
      <c r="G61" s="207">
        <f t="shared" si="17"/>
        <v>107.41050000000001</v>
      </c>
      <c r="H61" s="27">
        <f t="shared" si="17"/>
        <v>102.46600000000001</v>
      </c>
      <c r="I61" s="27">
        <f t="shared" si="17"/>
        <v>76.543062500000005</v>
      </c>
      <c r="J61" s="27">
        <f t="shared" si="17"/>
        <v>63.543062500000005</v>
      </c>
      <c r="K61" s="27">
        <f t="shared" si="17"/>
        <v>62.386812500000005</v>
      </c>
      <c r="L61" s="27">
        <f t="shared" si="17"/>
        <v>62.386812500000005</v>
      </c>
      <c r="M61" s="27">
        <f t="shared" si="17"/>
        <v>73.417474347059269</v>
      </c>
      <c r="N61" s="27">
        <f t="shared" si="17"/>
        <v>60.417474347059269</v>
      </c>
      <c r="O61" s="27">
        <f t="shared" si="17"/>
        <v>58.807460589655278</v>
      </c>
      <c r="P61" s="27">
        <f t="shared" si="17"/>
        <v>58.807460589655278</v>
      </c>
      <c r="Q61" s="27">
        <f t="shared" si="17"/>
        <v>241.24539658420775</v>
      </c>
      <c r="R61" s="27">
        <f t="shared" si="17"/>
        <v>227.93148552597324</v>
      </c>
      <c r="S61" s="27">
        <f>SUM(S28:S60)</f>
        <v>201.9559248842703</v>
      </c>
      <c r="T61" s="27">
        <f>SUM(T28:T60)</f>
        <v>188.7706600758616</v>
      </c>
      <c r="U61" s="27">
        <f>SUM(U28:U60)</f>
        <v>180.2</v>
      </c>
      <c r="V61" s="27">
        <f>SUM(V28:V60)</f>
        <v>180.2</v>
      </c>
    </row>
    <row r="62" spans="1:22" s="26" customFormat="1" x14ac:dyDescent="0.2">
      <c r="A62" s="32"/>
      <c r="B62" s="25"/>
      <c r="C62" s="151"/>
      <c r="D62" s="38"/>
      <c r="E62" s="38"/>
      <c r="F62" s="38"/>
      <c r="G62" s="207"/>
      <c r="H62" s="27"/>
      <c r="I62" s="27"/>
      <c r="J62" s="27"/>
      <c r="K62" s="27"/>
      <c r="L62" s="27"/>
      <c r="M62" s="27"/>
      <c r="N62" s="27"/>
      <c r="O62" s="27"/>
      <c r="P62" s="27"/>
      <c r="Q62" s="27"/>
      <c r="R62" s="27"/>
      <c r="S62" s="27"/>
      <c r="T62" s="27"/>
      <c r="U62" s="27"/>
      <c r="V62" s="27"/>
    </row>
    <row r="63" spans="1:22" s="26" customFormat="1" x14ac:dyDescent="0.2">
      <c r="A63" s="32"/>
      <c r="B63" s="3" t="s">
        <v>35</v>
      </c>
      <c r="C63" s="145"/>
      <c r="D63" s="157">
        <v>52</v>
      </c>
      <c r="E63" s="38"/>
      <c r="F63" s="38"/>
      <c r="G63" s="207"/>
      <c r="H63" s="27">
        <v>-275</v>
      </c>
      <c r="I63" s="27"/>
      <c r="J63" s="27"/>
      <c r="K63" s="27"/>
      <c r="L63" s="27"/>
      <c r="M63" s="27"/>
      <c r="N63" s="27"/>
      <c r="O63" s="27"/>
      <c r="P63" s="27"/>
      <c r="Q63" s="27"/>
      <c r="R63" s="27"/>
      <c r="S63" s="27"/>
      <c r="T63" s="27"/>
      <c r="U63" s="27"/>
      <c r="V63" s="27"/>
    </row>
    <row r="64" spans="1:22" s="2" customFormat="1" x14ac:dyDescent="0.2">
      <c r="A64" s="31"/>
      <c r="B64" s="3" t="s">
        <v>54</v>
      </c>
      <c r="C64" s="145"/>
      <c r="D64" s="157">
        <v>72</v>
      </c>
      <c r="E64" s="157"/>
      <c r="F64" s="13"/>
      <c r="G64" s="210"/>
      <c r="H64" s="13"/>
      <c r="I64" s="13"/>
      <c r="J64" s="13"/>
      <c r="K64" s="13"/>
      <c r="L64" s="13"/>
      <c r="M64" s="13"/>
      <c r="N64" s="13"/>
      <c r="O64" s="13"/>
      <c r="P64" s="13"/>
      <c r="Q64" s="13"/>
      <c r="R64" s="13"/>
      <c r="S64" s="13"/>
      <c r="T64" s="13"/>
      <c r="U64" s="13"/>
      <c r="V64" s="13"/>
    </row>
    <row r="65" spans="1:22" s="26" customFormat="1" ht="13.5" thickBot="1" x14ac:dyDescent="0.25">
      <c r="A65" s="32" t="s">
        <v>41</v>
      </c>
      <c r="B65" s="25" t="s">
        <v>43</v>
      </c>
      <c r="C65" s="152" t="s">
        <v>44</v>
      </c>
      <c r="D65" s="33">
        <f>+D23-D61+D64+D63</f>
        <v>180.15050000000002</v>
      </c>
      <c r="E65" s="142">
        <f t="shared" ref="E65:V65" si="18">+E23-E61</f>
        <v>12.194500000000005</v>
      </c>
      <c r="F65" s="142">
        <f t="shared" si="18"/>
        <v>90.489999999999966</v>
      </c>
      <c r="G65" s="243">
        <f t="shared" si="18"/>
        <v>30.389499999999998</v>
      </c>
      <c r="H65" s="142">
        <f>SUM(H61:H64)</f>
        <v>-172.53399999999999</v>
      </c>
      <c r="I65" s="246">
        <f t="shared" si="18"/>
        <v>48.643987307999978</v>
      </c>
      <c r="J65" s="246">
        <f t="shared" si="18"/>
        <v>57.926754517591988</v>
      </c>
      <c r="K65" s="246">
        <f t="shared" si="18"/>
        <v>55.620670516829094</v>
      </c>
      <c r="L65" s="246">
        <f t="shared" si="18"/>
        <v>53.103334761829203</v>
      </c>
      <c r="M65" s="252">
        <f t="shared" si="18"/>
        <v>39.7262872866892</v>
      </c>
      <c r="N65" s="252">
        <f t="shared" si="18"/>
        <v>50.544684195401416</v>
      </c>
      <c r="O65" s="252">
        <f t="shared" si="18"/>
        <v>50.132011651997715</v>
      </c>
      <c r="P65" s="252">
        <f t="shared" si="18"/>
        <v>48.262665643614426</v>
      </c>
      <c r="Q65" s="277">
        <f t="shared" si="18"/>
        <v>187.03510834887106</v>
      </c>
      <c r="R65" s="142">
        <f t="shared" si="18"/>
        <v>190.05787111219752</v>
      </c>
      <c r="S65" s="277">
        <f t="shared" si="18"/>
        <v>225.93746822492653</v>
      </c>
      <c r="T65" s="142">
        <f t="shared" si="18"/>
        <v>265.29479774193106</v>
      </c>
      <c r="U65" s="277">
        <f t="shared" si="18"/>
        <v>314.89176620679069</v>
      </c>
      <c r="V65" s="142">
        <f t="shared" si="18"/>
        <v>362.07202085413843</v>
      </c>
    </row>
    <row r="66" spans="1:22" s="26" customFormat="1" ht="13.5" thickTop="1" x14ac:dyDescent="0.2">
      <c r="A66" s="32"/>
      <c r="B66" s="25"/>
      <c r="C66" s="152"/>
      <c r="D66" s="38"/>
      <c r="E66" s="38"/>
      <c r="F66" s="38"/>
      <c r="G66" s="207"/>
      <c r="H66" s="38"/>
      <c r="I66" s="38"/>
      <c r="J66" s="38"/>
      <c r="K66" s="38"/>
      <c r="L66" s="38"/>
      <c r="M66" s="38"/>
      <c r="N66" s="38"/>
      <c r="O66" s="38"/>
      <c r="P66" s="38"/>
      <c r="Q66" s="38"/>
      <c r="R66" s="38"/>
      <c r="S66" s="38"/>
      <c r="T66" s="38"/>
      <c r="U66" s="38"/>
      <c r="V66" s="38"/>
    </row>
    <row r="67" spans="1:22" s="26" customFormat="1" x14ac:dyDescent="0.2">
      <c r="A67" s="32"/>
      <c r="B67" s="25" t="s">
        <v>136</v>
      </c>
      <c r="C67" s="152"/>
      <c r="D67" s="38"/>
      <c r="E67" s="38"/>
      <c r="F67" s="38"/>
      <c r="G67" s="207"/>
      <c r="H67" s="38">
        <f>-974.2-25</f>
        <v>-999.2</v>
      </c>
      <c r="I67" s="38"/>
      <c r="J67" s="38"/>
      <c r="K67" s="38"/>
      <c r="L67" s="38"/>
      <c r="M67" s="38"/>
      <c r="N67" s="38"/>
      <c r="O67" s="38"/>
      <c r="P67" s="38"/>
      <c r="Q67" s="38"/>
      <c r="R67" s="38"/>
      <c r="S67" s="38"/>
      <c r="T67" s="38"/>
      <c r="U67" s="38"/>
      <c r="V67" s="38"/>
    </row>
    <row r="68" spans="1:22" s="26" customFormat="1" x14ac:dyDescent="0.2">
      <c r="A68" s="32"/>
      <c r="B68" s="25"/>
      <c r="C68" s="152"/>
      <c r="D68" s="38"/>
      <c r="E68" s="38"/>
      <c r="F68" s="38"/>
      <c r="G68" s="207"/>
      <c r="H68" s="38"/>
      <c r="I68" s="38"/>
      <c r="J68" s="38"/>
      <c r="K68" s="38"/>
      <c r="L68" s="38"/>
      <c r="M68" s="38"/>
      <c r="N68" s="38"/>
      <c r="O68" s="38"/>
      <c r="P68" s="38"/>
      <c r="Q68" s="38"/>
      <c r="R68" s="38"/>
      <c r="S68" s="38"/>
      <c r="T68" s="38"/>
      <c r="U68" s="38"/>
      <c r="V68" s="38"/>
    </row>
    <row r="69" spans="1:22" s="26" customFormat="1" x14ac:dyDescent="0.2">
      <c r="A69" s="32"/>
      <c r="B69" s="25"/>
      <c r="C69" s="152"/>
      <c r="D69" s="38"/>
      <c r="E69" s="38"/>
      <c r="F69" s="38"/>
      <c r="G69" s="207"/>
      <c r="H69" s="38"/>
      <c r="I69" s="38"/>
      <c r="J69" s="38"/>
      <c r="K69" s="38"/>
      <c r="L69" s="38"/>
      <c r="M69" s="38"/>
      <c r="N69" s="38"/>
      <c r="O69" s="38"/>
      <c r="P69" s="38"/>
      <c r="Q69" s="38"/>
      <c r="R69" s="38"/>
      <c r="S69" s="38"/>
      <c r="T69" s="38"/>
      <c r="U69" s="38"/>
      <c r="V69" s="38"/>
    </row>
    <row r="70" spans="1:22" s="2" customFormat="1" x14ac:dyDescent="0.2">
      <c r="A70" s="31"/>
      <c r="B70" s="3"/>
      <c r="C70" s="145"/>
      <c r="D70" s="157"/>
      <c r="E70" s="157"/>
      <c r="F70" s="157"/>
      <c r="G70" s="202"/>
      <c r="H70" s="12"/>
      <c r="I70" s="12"/>
      <c r="J70" s="12"/>
      <c r="K70" s="12"/>
      <c r="L70" s="12"/>
      <c r="M70" s="12"/>
      <c r="N70" s="12"/>
      <c r="O70" s="12"/>
      <c r="P70" s="12"/>
      <c r="Q70" s="12"/>
      <c r="R70" s="12"/>
      <c r="S70" s="12"/>
      <c r="T70" s="12"/>
      <c r="U70" s="12"/>
      <c r="V70" s="12"/>
    </row>
    <row r="71" spans="1:22" x14ac:dyDescent="0.2">
      <c r="B71" s="54" t="s">
        <v>22</v>
      </c>
      <c r="C71" s="4"/>
      <c r="D71" s="158"/>
      <c r="E71" s="193"/>
      <c r="F71" s="193"/>
      <c r="G71" s="212"/>
      <c r="H71" s="14"/>
      <c r="I71" s="14"/>
      <c r="J71" s="14"/>
      <c r="K71" s="14"/>
      <c r="L71" s="14"/>
      <c r="M71" s="14"/>
      <c r="N71" s="14"/>
      <c r="O71" s="14"/>
      <c r="P71" s="14"/>
      <c r="Q71" s="14"/>
      <c r="R71" s="14"/>
      <c r="S71" s="14"/>
      <c r="T71" s="14"/>
      <c r="U71" s="14"/>
      <c r="V71" s="14"/>
    </row>
    <row r="72" spans="1:22" x14ac:dyDescent="0.2">
      <c r="A72" s="17" t="s">
        <v>42</v>
      </c>
      <c r="B72" s="1" t="s">
        <v>87</v>
      </c>
      <c r="C72" s="153">
        <v>250</v>
      </c>
      <c r="D72" s="158">
        <v>45</v>
      </c>
      <c r="E72" s="193">
        <v>25</v>
      </c>
      <c r="F72" s="193">
        <v>25</v>
      </c>
      <c r="G72" s="212">
        <v>25</v>
      </c>
      <c r="H72" s="14">
        <v>130</v>
      </c>
      <c r="I72" s="12"/>
      <c r="J72" s="14"/>
      <c r="K72" s="14"/>
      <c r="L72" s="14"/>
      <c r="M72" s="14"/>
      <c r="N72" s="14"/>
      <c r="O72" s="14"/>
      <c r="P72" s="14"/>
      <c r="Q72" s="14"/>
      <c r="R72" s="14"/>
      <c r="S72" s="14"/>
      <c r="T72" s="14"/>
      <c r="U72" s="14"/>
      <c r="V72" s="14"/>
    </row>
    <row r="73" spans="1:22" x14ac:dyDescent="0.2">
      <c r="A73" s="17" t="s">
        <v>42</v>
      </c>
      <c r="B73" s="1" t="s">
        <v>88</v>
      </c>
      <c r="C73" s="153">
        <v>16</v>
      </c>
      <c r="D73" s="158">
        <v>16</v>
      </c>
      <c r="E73" s="194">
        <v>-239</v>
      </c>
      <c r="F73" s="193"/>
      <c r="G73" s="212"/>
      <c r="H73" s="14">
        <v>239</v>
      </c>
      <c r="I73" s="12"/>
      <c r="J73" s="14"/>
      <c r="K73" s="14"/>
      <c r="L73" s="14"/>
      <c r="M73" s="14"/>
      <c r="N73" s="14"/>
      <c r="O73" s="14"/>
      <c r="P73" s="14"/>
      <c r="Q73" s="14"/>
      <c r="R73" s="14"/>
      <c r="S73" s="14"/>
      <c r="T73" s="14"/>
      <c r="U73" s="14"/>
      <c r="V73" s="14"/>
    </row>
    <row r="74" spans="1:22" x14ac:dyDescent="0.2">
      <c r="A74" s="17" t="s">
        <v>42</v>
      </c>
      <c r="B74" s="1" t="s">
        <v>25</v>
      </c>
      <c r="C74" s="153">
        <v>35</v>
      </c>
      <c r="D74" s="158">
        <v>35</v>
      </c>
      <c r="E74" s="193"/>
      <c r="F74" s="193"/>
      <c r="G74" s="212"/>
      <c r="H74" s="14"/>
      <c r="I74" s="14"/>
      <c r="J74" s="14"/>
      <c r="K74" s="14"/>
      <c r="L74" s="14"/>
      <c r="M74" s="14"/>
      <c r="N74" s="14"/>
      <c r="O74" s="14"/>
      <c r="P74" s="14"/>
      <c r="Q74" s="14"/>
      <c r="R74" s="14"/>
      <c r="S74" s="14"/>
      <c r="T74" s="14"/>
      <c r="U74" s="14"/>
      <c r="V74" s="14"/>
    </row>
    <row r="75" spans="1:22" x14ac:dyDescent="0.2">
      <c r="A75" s="17"/>
      <c r="B75" s="1" t="s">
        <v>114</v>
      </c>
      <c r="C75" s="153"/>
      <c r="D75" s="158"/>
      <c r="E75" s="193">
        <v>0.3</v>
      </c>
      <c r="F75" s="193"/>
      <c r="G75" s="212"/>
      <c r="H75" s="14"/>
      <c r="I75" s="14"/>
      <c r="J75" s="14"/>
      <c r="K75" s="14"/>
      <c r="L75" s="14"/>
      <c r="M75" s="14"/>
      <c r="N75" s="14"/>
      <c r="O75" s="14"/>
      <c r="P75" s="14"/>
      <c r="Q75" s="14"/>
      <c r="R75" s="14"/>
      <c r="S75" s="14"/>
      <c r="T75" s="14"/>
      <c r="U75" s="14"/>
      <c r="V75" s="14"/>
    </row>
    <row r="76" spans="1:22" ht="13.5" thickBot="1" x14ac:dyDescent="0.25">
      <c r="A76" s="17" t="s">
        <v>42</v>
      </c>
      <c r="B76" s="249" t="s">
        <v>34</v>
      </c>
      <c r="C76" s="154"/>
      <c r="D76" s="158"/>
      <c r="E76" s="193"/>
      <c r="F76" s="193"/>
      <c r="G76" s="212"/>
      <c r="H76" s="14">
        <v>184</v>
      </c>
      <c r="I76" s="14"/>
      <c r="J76" s="14"/>
      <c r="K76" s="14"/>
      <c r="L76" s="14"/>
      <c r="M76" s="14"/>
      <c r="N76" s="14"/>
      <c r="O76" s="14"/>
      <c r="P76" s="14"/>
      <c r="Q76" s="14"/>
      <c r="R76" s="14"/>
      <c r="S76" s="14"/>
      <c r="T76" s="14"/>
      <c r="U76" s="14"/>
      <c r="V76" s="14"/>
    </row>
    <row r="77" spans="1:22" ht="16.5" thickBot="1" x14ac:dyDescent="0.3">
      <c r="A77" s="17"/>
      <c r="B77" s="260" t="s">
        <v>137</v>
      </c>
      <c r="C77" s="154"/>
      <c r="D77" s="158"/>
      <c r="E77" s="193"/>
      <c r="F77" s="193"/>
      <c r="G77" s="250"/>
      <c r="H77" s="261">
        <v>-107.5</v>
      </c>
      <c r="I77" s="14"/>
      <c r="J77" s="14"/>
      <c r="K77" s="14"/>
      <c r="L77" s="14"/>
      <c r="M77" s="14"/>
      <c r="N77" s="14"/>
      <c r="O77" s="14"/>
      <c r="P77" s="14"/>
      <c r="Q77" s="14"/>
      <c r="R77" s="14"/>
      <c r="S77" s="14"/>
      <c r="T77" s="14"/>
      <c r="U77" s="14"/>
      <c r="V77" s="14"/>
    </row>
    <row r="78" spans="1:22" s="267" customFormat="1" ht="16.5" thickBot="1" x14ac:dyDescent="0.3">
      <c r="A78" s="228"/>
      <c r="B78" s="260" t="s">
        <v>138</v>
      </c>
      <c r="C78" s="262"/>
      <c r="D78" s="263"/>
      <c r="E78" s="264"/>
      <c r="F78" s="264"/>
      <c r="G78" s="265"/>
      <c r="H78" s="261">
        <v>-800</v>
      </c>
      <c r="I78" s="266"/>
      <c r="J78" s="266">
        <v>50</v>
      </c>
      <c r="K78" s="266"/>
      <c r="L78" s="266">
        <f>SUM(J65:K65)*0.75</f>
        <v>85.160568775815818</v>
      </c>
      <c r="M78" s="266"/>
      <c r="N78" s="266">
        <f>SUM(L65:M65)*0.75</f>
        <v>69.622216536388805</v>
      </c>
      <c r="O78" s="266"/>
      <c r="P78" s="266">
        <f>SUM(N65:O65)*0.75</f>
        <v>75.507521885549352</v>
      </c>
      <c r="Q78" s="266">
        <f>(SUM(O65:P65)+(+Q65*0.5))*0.75</f>
        <v>143.93417360253576</v>
      </c>
      <c r="R78" s="266">
        <f>SUM(Q65)*0.75</f>
        <v>140.2763312616533</v>
      </c>
      <c r="S78" s="266">
        <f>SUM(R65)*0.75</f>
        <v>142.54340333414814</v>
      </c>
      <c r="T78" s="266">
        <v>93.5</v>
      </c>
      <c r="U78" s="266">
        <v>0</v>
      </c>
      <c r="V78" s="266">
        <v>0</v>
      </c>
    </row>
    <row r="79" spans="1:22" x14ac:dyDescent="0.2">
      <c r="A79" s="17" t="s">
        <v>42</v>
      </c>
      <c r="B79" s="19" t="s">
        <v>14</v>
      </c>
      <c r="C79" s="153"/>
      <c r="D79" s="158"/>
      <c r="E79" s="193"/>
      <c r="F79" s="193"/>
      <c r="G79" s="212"/>
      <c r="H79" s="14"/>
      <c r="I79" s="14"/>
      <c r="J79" s="14"/>
      <c r="K79" s="14"/>
      <c r="L79" s="14"/>
      <c r="M79" s="14"/>
      <c r="N79" s="14"/>
      <c r="O79" s="14"/>
      <c r="P79" s="14"/>
      <c r="Q79" s="14"/>
      <c r="R79" s="14"/>
      <c r="S79" s="14"/>
      <c r="T79" s="14"/>
      <c r="U79" s="14"/>
      <c r="V79" s="14"/>
    </row>
    <row r="80" spans="1:22" x14ac:dyDescent="0.2">
      <c r="A80" s="17" t="s">
        <v>42</v>
      </c>
      <c r="B80" s="7" t="s">
        <v>27</v>
      </c>
      <c r="C80" s="154">
        <v>130</v>
      </c>
      <c r="D80" s="158"/>
      <c r="E80" s="193"/>
      <c r="F80" s="193"/>
      <c r="G80" s="212"/>
      <c r="H80" s="14">
        <v>130</v>
      </c>
      <c r="I80" s="14"/>
      <c r="J80" s="14"/>
      <c r="K80" s="14"/>
      <c r="L80" s="14"/>
      <c r="M80" s="14"/>
      <c r="N80" s="14"/>
      <c r="O80" s="14"/>
      <c r="P80" s="14"/>
      <c r="Q80" s="14"/>
      <c r="R80" s="14"/>
      <c r="S80" s="14"/>
      <c r="T80" s="14"/>
      <c r="U80" s="14"/>
      <c r="V80" s="14"/>
    </row>
    <row r="81" spans="1:22" x14ac:dyDescent="0.2">
      <c r="A81" s="17" t="s">
        <v>42</v>
      </c>
      <c r="B81" s="1" t="s">
        <v>26</v>
      </c>
      <c r="C81" s="154">
        <v>125</v>
      </c>
      <c r="D81" s="158"/>
      <c r="E81" s="193"/>
      <c r="F81" s="193"/>
      <c r="G81" s="212"/>
      <c r="H81" s="14">
        <v>125</v>
      </c>
      <c r="I81" s="14"/>
      <c r="J81" s="14"/>
      <c r="K81" s="14"/>
      <c r="L81" s="14"/>
      <c r="M81" s="14"/>
      <c r="N81" s="14"/>
      <c r="O81" s="14"/>
      <c r="P81" s="14"/>
      <c r="Q81" s="14"/>
      <c r="R81" s="14"/>
      <c r="S81" s="14"/>
      <c r="T81" s="14"/>
      <c r="U81" s="14"/>
      <c r="V81" s="14"/>
    </row>
    <row r="82" spans="1:22" x14ac:dyDescent="0.2">
      <c r="A82" s="17" t="s">
        <v>42</v>
      </c>
      <c r="B82" s="1" t="s">
        <v>28</v>
      </c>
      <c r="C82" s="154">
        <v>255</v>
      </c>
      <c r="D82" s="158"/>
      <c r="E82" s="193"/>
      <c r="F82" s="193"/>
      <c r="G82" s="212"/>
      <c r="H82" s="14">
        <v>255</v>
      </c>
      <c r="I82" s="14"/>
      <c r="J82" s="14"/>
      <c r="K82" s="14"/>
      <c r="L82" s="14"/>
      <c r="M82" s="14"/>
      <c r="N82" s="14"/>
      <c r="O82" s="14"/>
      <c r="P82" s="14"/>
      <c r="Q82" s="14"/>
      <c r="R82" s="14"/>
      <c r="S82" s="14"/>
      <c r="T82" s="14"/>
      <c r="U82" s="14"/>
      <c r="V82" s="14"/>
    </row>
    <row r="83" spans="1:22" x14ac:dyDescent="0.2">
      <c r="A83" s="17" t="s">
        <v>42</v>
      </c>
      <c r="B83" s="1" t="s">
        <v>29</v>
      </c>
      <c r="C83" s="154">
        <v>138</v>
      </c>
      <c r="D83" s="158"/>
      <c r="E83" s="193"/>
      <c r="F83" s="193"/>
      <c r="G83" s="212"/>
      <c r="H83" s="14">
        <v>138</v>
      </c>
      <c r="I83" s="14"/>
      <c r="J83" s="14"/>
      <c r="K83" s="14"/>
      <c r="L83" s="14"/>
      <c r="M83" s="14"/>
      <c r="N83" s="14"/>
      <c r="O83" s="14"/>
      <c r="P83" s="14"/>
      <c r="Q83" s="14"/>
      <c r="R83" s="14"/>
      <c r="S83" s="14"/>
      <c r="T83" s="14"/>
      <c r="U83" s="14"/>
      <c r="V83" s="14"/>
    </row>
    <row r="84" spans="1:22" x14ac:dyDescent="0.2">
      <c r="A84" s="17" t="s">
        <v>42</v>
      </c>
      <c r="B84" s="1" t="s">
        <v>30</v>
      </c>
      <c r="C84" s="154">
        <v>320</v>
      </c>
      <c r="D84" s="158"/>
      <c r="E84" s="193"/>
      <c r="F84" s="193"/>
      <c r="G84" s="212"/>
      <c r="H84" s="14">
        <v>320</v>
      </c>
      <c r="I84" s="14"/>
      <c r="J84" s="14"/>
      <c r="K84" s="14"/>
      <c r="L84" s="14"/>
      <c r="M84" s="14"/>
      <c r="N84" s="14"/>
      <c r="O84" s="14"/>
      <c r="P84" s="14"/>
      <c r="Q84" s="14"/>
      <c r="R84" s="14"/>
      <c r="S84" s="14"/>
      <c r="T84" s="14"/>
      <c r="U84" s="14"/>
      <c r="V84" s="14"/>
    </row>
    <row r="85" spans="1:22" x14ac:dyDescent="0.2">
      <c r="A85" s="17" t="s">
        <v>42</v>
      </c>
      <c r="B85" s="1" t="s">
        <v>31</v>
      </c>
      <c r="C85" s="154">
        <v>121</v>
      </c>
      <c r="D85" s="158"/>
      <c r="E85" s="193"/>
      <c r="F85" s="193"/>
      <c r="G85" s="212"/>
      <c r="H85" s="14">
        <v>121</v>
      </c>
      <c r="I85" s="14"/>
      <c r="J85" s="14"/>
      <c r="K85" s="14"/>
      <c r="L85" s="14"/>
      <c r="M85" s="14"/>
      <c r="N85" s="14"/>
      <c r="O85" s="14"/>
      <c r="P85" s="14"/>
      <c r="Q85" s="14"/>
      <c r="R85" s="14"/>
      <c r="S85" s="14"/>
      <c r="T85" s="14"/>
      <c r="U85" s="14"/>
      <c r="V85" s="14"/>
    </row>
    <row r="86" spans="1:22" x14ac:dyDescent="0.2">
      <c r="A86" s="17" t="s">
        <v>42</v>
      </c>
      <c r="B86" s="1" t="s">
        <v>32</v>
      </c>
      <c r="C86" s="154">
        <v>300</v>
      </c>
      <c r="D86" s="158"/>
      <c r="E86" s="193"/>
      <c r="F86" s="193"/>
      <c r="G86" s="212"/>
      <c r="H86" s="14">
        <v>300</v>
      </c>
      <c r="I86" s="14"/>
      <c r="J86" s="14"/>
      <c r="K86" s="14"/>
      <c r="L86" s="14"/>
      <c r="M86" s="14"/>
      <c r="N86" s="14"/>
      <c r="O86" s="14"/>
      <c r="P86" s="14"/>
      <c r="Q86" s="14"/>
      <c r="R86" s="14"/>
      <c r="S86" s="14"/>
      <c r="T86" s="14"/>
      <c r="U86" s="14"/>
      <c r="V86" s="14"/>
    </row>
    <row r="87" spans="1:22" x14ac:dyDescent="0.2">
      <c r="A87" s="17" t="s">
        <v>42</v>
      </c>
      <c r="B87" s="1" t="s">
        <v>33</v>
      </c>
      <c r="C87" s="154">
        <v>17</v>
      </c>
      <c r="D87" s="158"/>
      <c r="E87" s="193"/>
      <c r="F87" s="193"/>
      <c r="G87" s="212"/>
      <c r="H87" s="14">
        <v>17</v>
      </c>
      <c r="I87" s="14"/>
      <c r="J87" s="14"/>
      <c r="K87" s="14"/>
      <c r="L87" s="14"/>
      <c r="M87" s="14"/>
      <c r="N87" s="14"/>
      <c r="O87" s="14"/>
      <c r="P87" s="14"/>
      <c r="Q87" s="14"/>
      <c r="R87" s="14"/>
      <c r="S87" s="14"/>
      <c r="T87" s="14"/>
      <c r="U87" s="14"/>
      <c r="V87" s="14"/>
    </row>
    <row r="88" spans="1:22" x14ac:dyDescent="0.2">
      <c r="B88" s="19" t="s">
        <v>69</v>
      </c>
      <c r="C88" s="35">
        <f>SUM(C72:C87)</f>
        <v>1707</v>
      </c>
      <c r="D88" s="158"/>
      <c r="E88" s="193"/>
      <c r="F88" s="193"/>
      <c r="G88" s="212"/>
      <c r="H88" s="14"/>
      <c r="I88" s="14"/>
      <c r="J88" s="14"/>
      <c r="K88" s="14"/>
      <c r="L88" s="14"/>
      <c r="M88" s="14"/>
      <c r="N88" s="14"/>
      <c r="O88" s="14"/>
      <c r="P88" s="14"/>
      <c r="Q88" s="14"/>
      <c r="R88" s="14"/>
      <c r="S88" s="14"/>
      <c r="T88" s="14"/>
      <c r="U88" s="14"/>
      <c r="V88" s="14"/>
    </row>
    <row r="89" spans="1:22" s="16" customFormat="1" ht="13.5" thickBot="1" x14ac:dyDescent="0.25">
      <c r="A89" s="17" t="s">
        <v>45</v>
      </c>
      <c r="B89" s="16" t="s">
        <v>53</v>
      </c>
      <c r="C89" s="155" t="s">
        <v>51</v>
      </c>
      <c r="D89" s="118">
        <f>-SUM(D70:D88)+D65</f>
        <v>84.150500000000022</v>
      </c>
      <c r="E89" s="244">
        <f>-SUM(E70:E88)+E65</f>
        <v>225.89449999999999</v>
      </c>
      <c r="F89" s="244">
        <f>-SUM(F70:F88)+F65</f>
        <v>65.489999999999966</v>
      </c>
      <c r="G89" s="245">
        <f>-SUM(G70:G88)+G65</f>
        <v>5.3894999999999982</v>
      </c>
      <c r="H89" s="245">
        <f>-SUM(H67:H88)+H65</f>
        <v>-224.83399999999995</v>
      </c>
      <c r="I89" s="248">
        <f t="shared" ref="I89:V89" si="19">-SUM(I70:I88)+I65</f>
        <v>48.643987307999978</v>
      </c>
      <c r="J89" s="248">
        <f t="shared" si="19"/>
        <v>7.9267545175919878</v>
      </c>
      <c r="K89" s="248">
        <f t="shared" si="19"/>
        <v>55.620670516829094</v>
      </c>
      <c r="L89" s="248">
        <f t="shared" si="19"/>
        <v>-32.057234013986616</v>
      </c>
      <c r="M89" s="253">
        <f t="shared" si="19"/>
        <v>39.7262872866892</v>
      </c>
      <c r="N89" s="253">
        <f t="shared" si="19"/>
        <v>-19.077532340987389</v>
      </c>
      <c r="O89" s="253">
        <f t="shared" si="19"/>
        <v>50.132011651997715</v>
      </c>
      <c r="P89" s="253">
        <f t="shared" si="19"/>
        <v>-27.244856241934926</v>
      </c>
      <c r="Q89" s="278">
        <f t="shared" si="19"/>
        <v>43.100934746335298</v>
      </c>
      <c r="R89" s="244">
        <f t="shared" si="19"/>
        <v>49.78153985054422</v>
      </c>
      <c r="S89" s="278">
        <f t="shared" si="19"/>
        <v>83.394064890778395</v>
      </c>
      <c r="T89" s="244">
        <f t="shared" si="19"/>
        <v>171.79479774193106</v>
      </c>
      <c r="U89" s="278">
        <f t="shared" si="19"/>
        <v>314.89176620679069</v>
      </c>
      <c r="V89" s="244">
        <f t="shared" si="19"/>
        <v>362.07202085413843</v>
      </c>
    </row>
    <row r="90" spans="1:22" ht="14.25" thickTop="1" thickBot="1" x14ac:dyDescent="0.25">
      <c r="C90" s="4"/>
      <c r="D90" s="158"/>
      <c r="E90" s="193"/>
      <c r="F90" s="193"/>
      <c r="G90" s="212"/>
      <c r="H90" s="14"/>
      <c r="I90" s="14"/>
      <c r="J90" s="14"/>
      <c r="K90" s="14"/>
      <c r="L90" s="14"/>
      <c r="M90" s="14"/>
      <c r="N90" s="14"/>
      <c r="O90" s="14"/>
      <c r="P90" s="14"/>
      <c r="Q90" s="14"/>
      <c r="R90" s="14"/>
      <c r="S90" s="14"/>
      <c r="T90" s="14"/>
      <c r="U90" s="14"/>
      <c r="V90" s="14"/>
    </row>
    <row r="91" spans="1:22" s="176" customFormat="1" ht="13.5" thickBot="1" x14ac:dyDescent="0.25">
      <c r="A91" s="32" t="s">
        <v>52</v>
      </c>
      <c r="B91" s="176" t="s">
        <v>23</v>
      </c>
      <c r="C91" s="216"/>
      <c r="D91" s="215">
        <f>+D89</f>
        <v>84.150500000000022</v>
      </c>
      <c r="E91" s="215">
        <f>+D91+E89</f>
        <v>310.04500000000002</v>
      </c>
      <c r="F91" s="215">
        <f t="shared" ref="F91:R91" si="20">+E91+F89</f>
        <v>375.53499999999997</v>
      </c>
      <c r="G91" s="257">
        <f t="shared" si="20"/>
        <v>380.92449999999997</v>
      </c>
      <c r="H91" s="217">
        <f t="shared" si="20"/>
        <v>156.09050000000002</v>
      </c>
      <c r="I91" s="217">
        <f t="shared" si="20"/>
        <v>204.73448730799998</v>
      </c>
      <c r="J91" s="217">
        <f t="shared" si="20"/>
        <v>212.66124182559196</v>
      </c>
      <c r="K91" s="217">
        <f t="shared" si="20"/>
        <v>268.28191234242104</v>
      </c>
      <c r="L91" s="215">
        <f t="shared" si="20"/>
        <v>236.22467832843444</v>
      </c>
      <c r="M91" s="215">
        <f t="shared" si="20"/>
        <v>275.95096561512366</v>
      </c>
      <c r="N91" s="215">
        <f t="shared" si="20"/>
        <v>256.87343327413629</v>
      </c>
      <c r="O91" s="215">
        <f t="shared" si="20"/>
        <v>307.00544492613403</v>
      </c>
      <c r="P91" s="215">
        <f t="shared" si="20"/>
        <v>279.76058868419909</v>
      </c>
      <c r="Q91" s="215">
        <f t="shared" si="20"/>
        <v>322.86152343053436</v>
      </c>
      <c r="R91" s="247">
        <f t="shared" si="20"/>
        <v>372.64306328107858</v>
      </c>
      <c r="S91" s="215">
        <f>+R91+S89</f>
        <v>456.03712817185698</v>
      </c>
      <c r="T91" s="215">
        <f>+S91+T89</f>
        <v>627.83192591378804</v>
      </c>
      <c r="U91" s="215">
        <f>+T91+U89</f>
        <v>942.72369212057879</v>
      </c>
      <c r="V91" s="215">
        <f>+U91+V89</f>
        <v>1304.7957129747172</v>
      </c>
    </row>
    <row r="92" spans="1:22" s="176" customFormat="1" x14ac:dyDescent="0.2">
      <c r="A92" s="32"/>
      <c r="C92" s="216"/>
      <c r="D92" s="215"/>
      <c r="E92" s="215"/>
      <c r="F92" s="215"/>
      <c r="G92" s="217"/>
      <c r="H92" s="217"/>
      <c r="I92" s="217"/>
      <c r="J92" s="217"/>
      <c r="K92" s="217"/>
      <c r="L92" s="215"/>
      <c r="M92" s="217"/>
      <c r="N92" s="215"/>
      <c r="O92" s="217"/>
      <c r="P92" s="217"/>
      <c r="Q92" s="217"/>
      <c r="R92" s="215"/>
      <c r="S92" s="215"/>
      <c r="T92" s="215"/>
      <c r="U92" s="215"/>
      <c r="V92" s="215"/>
    </row>
    <row r="93" spans="1:22" s="220" customFormat="1" ht="15.75" x14ac:dyDescent="0.25">
      <c r="A93" s="221"/>
      <c r="B93" s="223" t="s">
        <v>128</v>
      </c>
      <c r="C93" s="224"/>
      <c r="D93" s="224">
        <f>-SUM(D71:D87)</f>
        <v>-96</v>
      </c>
      <c r="E93" s="224">
        <f t="shared" ref="E93:V93" si="21">-SUM(E71:E87)</f>
        <v>213.7</v>
      </c>
      <c r="F93" s="224">
        <f t="shared" si="21"/>
        <v>-25</v>
      </c>
      <c r="G93" s="224">
        <f t="shared" si="21"/>
        <v>-25</v>
      </c>
      <c r="H93" s="224">
        <f t="shared" si="21"/>
        <v>-1051.5</v>
      </c>
      <c r="I93" s="224">
        <f t="shared" si="21"/>
        <v>0</v>
      </c>
      <c r="J93" s="224">
        <f t="shared" si="21"/>
        <v>-50</v>
      </c>
      <c r="K93" s="224">
        <f t="shared" si="21"/>
        <v>0</v>
      </c>
      <c r="L93" s="224">
        <f t="shared" si="21"/>
        <v>-85.160568775815818</v>
      </c>
      <c r="M93" s="224">
        <f t="shared" si="21"/>
        <v>0</v>
      </c>
      <c r="N93" s="224">
        <f t="shared" si="21"/>
        <v>-69.622216536388805</v>
      </c>
      <c r="O93" s="224">
        <f t="shared" si="21"/>
        <v>0</v>
      </c>
      <c r="P93" s="224">
        <f t="shared" si="21"/>
        <v>-75.507521885549352</v>
      </c>
      <c r="Q93" s="224">
        <f t="shared" si="21"/>
        <v>-143.93417360253576</v>
      </c>
      <c r="R93" s="224">
        <f t="shared" si="21"/>
        <v>-140.2763312616533</v>
      </c>
      <c r="S93" s="224">
        <f t="shared" si="21"/>
        <v>-142.54340333414814</v>
      </c>
      <c r="T93" s="224">
        <f t="shared" si="21"/>
        <v>-93.5</v>
      </c>
      <c r="U93" s="224">
        <f t="shared" si="21"/>
        <v>0</v>
      </c>
      <c r="V93" s="225">
        <f t="shared" si="21"/>
        <v>0</v>
      </c>
    </row>
    <row r="94" spans="1:22" s="232" customFormat="1" ht="15.75" x14ac:dyDescent="0.25">
      <c r="A94" s="228"/>
      <c r="B94" s="223" t="s">
        <v>127</v>
      </c>
      <c r="C94" s="224">
        <v>1891</v>
      </c>
      <c r="D94" s="224">
        <f>+C94+D93</f>
        <v>1795</v>
      </c>
      <c r="E94" s="224">
        <f t="shared" ref="E94:V94" si="22">+D94+E93</f>
        <v>2008.7</v>
      </c>
      <c r="F94" s="224">
        <f t="shared" si="22"/>
        <v>1983.7</v>
      </c>
      <c r="G94" s="224">
        <f t="shared" si="22"/>
        <v>1958.7</v>
      </c>
      <c r="H94" s="224">
        <f t="shared" si="22"/>
        <v>907.2</v>
      </c>
      <c r="I94" s="224">
        <f t="shared" si="22"/>
        <v>907.2</v>
      </c>
      <c r="J94" s="224">
        <f t="shared" si="22"/>
        <v>857.2</v>
      </c>
      <c r="K94" s="224">
        <f t="shared" si="22"/>
        <v>857.2</v>
      </c>
      <c r="L94" s="224">
        <f t="shared" si="22"/>
        <v>772.03943122418423</v>
      </c>
      <c r="M94" s="224">
        <f t="shared" si="22"/>
        <v>772.03943122418423</v>
      </c>
      <c r="N94" s="224">
        <f t="shared" si="22"/>
        <v>702.41721468779542</v>
      </c>
      <c r="O94" s="224">
        <f t="shared" si="22"/>
        <v>702.41721468779542</v>
      </c>
      <c r="P94" s="224">
        <f t="shared" si="22"/>
        <v>626.90969280224613</v>
      </c>
      <c r="Q94" s="224">
        <f t="shared" si="22"/>
        <v>482.97551919971033</v>
      </c>
      <c r="R94" s="224">
        <f t="shared" si="22"/>
        <v>342.69918793805704</v>
      </c>
      <c r="S94" s="224">
        <f t="shared" si="22"/>
        <v>200.1557846039089</v>
      </c>
      <c r="T94" s="224">
        <f t="shared" si="22"/>
        <v>106.6557846039089</v>
      </c>
      <c r="U94" s="224">
        <f t="shared" si="22"/>
        <v>106.6557846039089</v>
      </c>
      <c r="V94" s="225">
        <f t="shared" si="22"/>
        <v>106.6557846039089</v>
      </c>
    </row>
    <row r="95" spans="1:22" s="16" customFormat="1" x14ac:dyDescent="0.2">
      <c r="A95" s="17"/>
      <c r="D95" s="105"/>
      <c r="E95" s="36"/>
      <c r="F95" s="36"/>
      <c r="G95" s="36"/>
      <c r="H95" s="36"/>
      <c r="I95" s="36"/>
      <c r="J95" s="36"/>
      <c r="K95" s="36"/>
      <c r="L95" s="105"/>
      <c r="M95" s="36"/>
      <c r="N95" s="105"/>
      <c r="O95" s="36"/>
      <c r="P95" s="36"/>
      <c r="Q95" s="36"/>
      <c r="R95" s="36"/>
      <c r="S95" s="36"/>
      <c r="T95" s="36"/>
      <c r="U95" s="36"/>
      <c r="V95" s="36"/>
    </row>
    <row r="96" spans="1:22" ht="15.75" x14ac:dyDescent="0.25">
      <c r="B96" s="268" t="s">
        <v>50</v>
      </c>
    </row>
    <row r="97" spans="1:22" ht="15.75" x14ac:dyDescent="0.25">
      <c r="B97" s="268"/>
    </row>
    <row r="98" spans="1:22" ht="15.75" x14ac:dyDescent="0.25">
      <c r="B98" s="268"/>
    </row>
    <row r="100" spans="1:22" s="281" customFormat="1" ht="15" x14ac:dyDescent="0.2">
      <c r="A100" s="280"/>
      <c r="B100" s="281" t="s">
        <v>146</v>
      </c>
      <c r="D100" s="281">
        <v>27.995000000000001</v>
      </c>
      <c r="E100" s="281">
        <f>+D100</f>
        <v>27.995000000000001</v>
      </c>
      <c r="F100" s="281">
        <f>+E100</f>
        <v>27.995000000000001</v>
      </c>
      <c r="G100" s="281">
        <f>+F100</f>
        <v>27.995000000000001</v>
      </c>
      <c r="H100" s="281">
        <v>27.995000000000001</v>
      </c>
    </row>
    <row r="101" spans="1:22" s="281" customFormat="1" ht="15" x14ac:dyDescent="0.2">
      <c r="A101" s="280"/>
    </row>
    <row r="102" spans="1:22" s="281" customFormat="1" ht="15" x14ac:dyDescent="0.2">
      <c r="A102" s="280"/>
      <c r="B102" s="281" t="s">
        <v>147</v>
      </c>
      <c r="E102" s="282"/>
      <c r="F102" s="282"/>
      <c r="G102" s="282">
        <v>24</v>
      </c>
      <c r="H102" s="282"/>
      <c r="I102" s="282"/>
      <c r="J102" s="282"/>
      <c r="K102" s="282"/>
      <c r="L102" s="282"/>
      <c r="M102" s="282"/>
      <c r="N102" s="282"/>
      <c r="O102" s="282"/>
      <c r="P102" s="282"/>
      <c r="Q102" s="282"/>
      <c r="R102" s="282"/>
      <c r="S102" s="282"/>
      <c r="T102" s="282"/>
      <c r="U102" s="282"/>
      <c r="V102" s="282"/>
    </row>
    <row r="103" spans="1:22" s="281" customFormat="1" ht="15" x14ac:dyDescent="0.2">
      <c r="A103" s="280"/>
      <c r="B103" s="281" t="s">
        <v>150</v>
      </c>
      <c r="E103" s="282">
        <v>58</v>
      </c>
      <c r="F103" s="282">
        <v>67.7</v>
      </c>
      <c r="G103" s="282">
        <v>77.099999999999994</v>
      </c>
      <c r="H103" s="282"/>
      <c r="I103" s="282"/>
      <c r="J103" s="282"/>
      <c r="K103" s="282"/>
      <c r="L103" s="283"/>
      <c r="M103" s="282"/>
      <c r="N103" s="282"/>
      <c r="O103" s="282"/>
      <c r="P103" s="282"/>
      <c r="Q103" s="282"/>
      <c r="R103" s="282"/>
      <c r="S103" s="282"/>
      <c r="T103" s="282"/>
      <c r="U103" s="282"/>
      <c r="V103" s="282"/>
    </row>
    <row r="104" spans="1:22" s="281" customFormat="1" ht="15" x14ac:dyDescent="0.2">
      <c r="A104" s="280"/>
    </row>
    <row r="105" spans="1:22" s="285" customFormat="1" ht="15.75" x14ac:dyDescent="0.25">
      <c r="A105" s="284"/>
      <c r="B105" s="285" t="s">
        <v>148</v>
      </c>
      <c r="F105" s="286">
        <f>+(F103*4)/F$100</f>
        <v>9.6731559207001254</v>
      </c>
      <c r="G105" s="286">
        <f>+(G103*4)/G$100</f>
        <v>11.016252902303982</v>
      </c>
    </row>
    <row r="106" spans="1:22" s="281" customFormat="1" ht="15" x14ac:dyDescent="0.2">
      <c r="A106" s="280"/>
    </row>
    <row r="107" spans="1:22" s="285" customFormat="1" ht="15.75" x14ac:dyDescent="0.25">
      <c r="A107" s="284"/>
      <c r="B107" s="285" t="s">
        <v>149</v>
      </c>
      <c r="E107" s="286">
        <f>+E23/E$100*4</f>
        <v>20.860868012145026</v>
      </c>
      <c r="F107" s="286">
        <f>+F23/F$100*4</f>
        <v>20.746561886051079</v>
      </c>
      <c r="G107" s="286">
        <f>+G23/G$100*4</f>
        <v>19.689230219682088</v>
      </c>
    </row>
  </sheetData>
  <phoneticPr fontId="7" type="noConversion"/>
  <pageMargins left="0.75" right="0.75" top="1" bottom="1" header="0.5" footer="0.5"/>
  <headerFooter alignWithMargins="0"/>
  <ignoredErrors>
    <ignoredError sqref="H89" formula="1"/>
  </ignoredErrors>
  <legacyDrawing r:id="rId1"/>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6"/>
  <dimension ref="A1:Y110"/>
  <sheetViews>
    <sheetView workbookViewId="0">
      <selection activeCell="L53" sqref="L53"/>
    </sheetView>
  </sheetViews>
  <sheetFormatPr defaultRowHeight="12.75" x14ac:dyDescent="0.2"/>
  <cols>
    <col min="1" max="1" width="4.5703125" style="6" customWidth="1"/>
    <col min="2" max="2" width="21.42578125" customWidth="1"/>
    <col min="3" max="3" width="8" customWidth="1"/>
    <col min="5" max="5" width="10.85546875" customWidth="1"/>
    <col min="6" max="16" width="9.7109375" customWidth="1"/>
    <col min="17" max="22" width="11.28515625" customWidth="1"/>
    <col min="23" max="23" width="8.28515625" customWidth="1"/>
    <col min="24" max="24" width="8" style="10" customWidth="1"/>
    <col min="25" max="25" width="9.140625" style="5" customWidth="1"/>
  </cols>
  <sheetData>
    <row r="1" spans="1:25" ht="33" x14ac:dyDescent="0.6">
      <c r="B1" s="113" t="s">
        <v>130</v>
      </c>
      <c r="G1" s="98"/>
      <c r="H1" s="65"/>
      <c r="I1" s="64"/>
      <c r="J1" s="65" t="s">
        <v>108</v>
      </c>
      <c r="K1" s="64"/>
      <c r="L1" s="64"/>
    </row>
    <row r="2" spans="1:25" s="98" customFormat="1" ht="30" customHeight="1" x14ac:dyDescent="0.5">
      <c r="A2" s="31"/>
      <c r="B2" s="97"/>
      <c r="H2" s="99"/>
      <c r="I2" s="258"/>
      <c r="J2" s="259" t="s">
        <v>145</v>
      </c>
      <c r="K2" s="258"/>
      <c r="X2" s="100"/>
      <c r="Y2" s="101"/>
    </row>
    <row r="3" spans="1:25" ht="20.25" x14ac:dyDescent="0.3">
      <c r="B3" s="114" t="s">
        <v>110</v>
      </c>
      <c r="C3" s="95"/>
      <c r="D3" s="185"/>
      <c r="E3" s="104"/>
      <c r="F3" s="96"/>
    </row>
    <row r="4" spans="1:25" s="19" customFormat="1" ht="13.5" thickBot="1" x14ac:dyDescent="0.25">
      <c r="A4" s="17"/>
      <c r="C4" s="144"/>
      <c r="D4" s="175" t="s">
        <v>20</v>
      </c>
      <c r="E4" s="160" t="s">
        <v>1</v>
      </c>
      <c r="F4" s="20" t="s">
        <v>2</v>
      </c>
      <c r="G4" s="20" t="s">
        <v>3</v>
      </c>
      <c r="H4" s="20" t="s">
        <v>4</v>
      </c>
      <c r="I4" s="21" t="s">
        <v>5</v>
      </c>
      <c r="J4" s="21" t="s">
        <v>6</v>
      </c>
      <c r="K4" s="21" t="s">
        <v>7</v>
      </c>
      <c r="L4" s="21" t="s">
        <v>8</v>
      </c>
      <c r="M4" s="22" t="s">
        <v>9</v>
      </c>
      <c r="N4" s="22" t="s">
        <v>10</v>
      </c>
      <c r="O4" s="22" t="s">
        <v>11</v>
      </c>
      <c r="P4" s="22" t="s">
        <v>12</v>
      </c>
      <c r="Q4" s="19">
        <v>2015</v>
      </c>
      <c r="R4" s="19">
        <v>2016</v>
      </c>
      <c r="S4" s="19">
        <v>2017</v>
      </c>
      <c r="T4" s="19">
        <v>2018</v>
      </c>
      <c r="U4" s="19">
        <v>2019</v>
      </c>
      <c r="V4" s="19">
        <v>2020</v>
      </c>
      <c r="W4" s="17"/>
      <c r="X4" s="24"/>
      <c r="Y4" s="23"/>
    </row>
    <row r="5" spans="1:25" s="129" customFormat="1" ht="17.25" thickBot="1" x14ac:dyDescent="0.3">
      <c r="B5" s="136" t="s">
        <v>105</v>
      </c>
      <c r="C5" s="137"/>
      <c r="D5" s="137"/>
      <c r="E5" s="138"/>
      <c r="F5" s="138"/>
      <c r="G5" s="138"/>
      <c r="H5" s="139">
        <v>2.2499999999999999E-2</v>
      </c>
      <c r="I5" s="138">
        <f t="shared" ref="I5:O6" si="0">+H5</f>
        <v>2.2499999999999999E-2</v>
      </c>
      <c r="J5" s="138">
        <f t="shared" si="0"/>
        <v>2.2499999999999999E-2</v>
      </c>
      <c r="K5" s="138">
        <f t="shared" si="0"/>
        <v>2.2499999999999999E-2</v>
      </c>
      <c r="L5" s="139">
        <f t="shared" si="0"/>
        <v>2.2499999999999999E-2</v>
      </c>
      <c r="M5" s="181">
        <f t="shared" si="0"/>
        <v>2.2499999999999999E-2</v>
      </c>
      <c r="N5" s="138">
        <f t="shared" si="0"/>
        <v>2.2499999999999999E-2</v>
      </c>
      <c r="O5" s="138">
        <f t="shared" si="0"/>
        <v>2.2499999999999999E-2</v>
      </c>
      <c r="P5" s="139">
        <f>+O5</f>
        <v>2.2499999999999999E-2</v>
      </c>
      <c r="Q5" s="179">
        <v>0.15</v>
      </c>
      <c r="R5" s="179">
        <v>0.15</v>
      </c>
      <c r="S5" s="139">
        <v>0.15</v>
      </c>
      <c r="T5" s="139">
        <v>0.15</v>
      </c>
      <c r="U5" s="139">
        <v>0.15</v>
      </c>
      <c r="V5" s="139">
        <v>0.15</v>
      </c>
      <c r="X5" s="134"/>
      <c r="Y5" s="135"/>
    </row>
    <row r="6" spans="1:25" s="129" customFormat="1" ht="17.25" thickBot="1" x14ac:dyDescent="0.3">
      <c r="B6" s="130" t="s">
        <v>106</v>
      </c>
      <c r="C6" s="131"/>
      <c r="D6" s="131"/>
      <c r="E6" s="138"/>
      <c r="F6" s="132"/>
      <c r="G6" s="132"/>
      <c r="H6" s="133">
        <v>-4.3999999999999997E-2</v>
      </c>
      <c r="I6" s="182">
        <f t="shared" si="0"/>
        <v>-4.3999999999999997E-2</v>
      </c>
      <c r="J6" s="132">
        <f t="shared" si="0"/>
        <v>-4.3999999999999997E-2</v>
      </c>
      <c r="K6" s="132">
        <f t="shared" si="0"/>
        <v>-4.3999999999999997E-2</v>
      </c>
      <c r="L6" s="133">
        <f t="shared" si="0"/>
        <v>-4.3999999999999997E-2</v>
      </c>
      <c r="M6" s="182">
        <f t="shared" si="0"/>
        <v>-4.3999999999999997E-2</v>
      </c>
      <c r="N6" s="132">
        <f t="shared" si="0"/>
        <v>-4.3999999999999997E-2</v>
      </c>
      <c r="O6" s="132">
        <f t="shared" si="0"/>
        <v>-4.3999999999999997E-2</v>
      </c>
      <c r="P6" s="133">
        <f>+O6</f>
        <v>-4.3999999999999997E-2</v>
      </c>
      <c r="Q6" s="180">
        <v>-0.15</v>
      </c>
      <c r="R6" s="180">
        <v>-0.15</v>
      </c>
      <c r="S6" s="133">
        <v>-0.1</v>
      </c>
      <c r="T6" s="133">
        <v>-0.05</v>
      </c>
      <c r="U6" s="133">
        <v>0</v>
      </c>
      <c r="V6" s="133">
        <v>0</v>
      </c>
      <c r="X6" s="134"/>
      <c r="Y6" s="135"/>
    </row>
    <row r="7" spans="1:25" ht="20.25" x14ac:dyDescent="0.3">
      <c r="B7" s="94"/>
      <c r="C7" s="95"/>
      <c r="D7" s="95"/>
      <c r="E7" s="104"/>
      <c r="F7" s="238"/>
      <c r="G7" s="237"/>
    </row>
    <row r="8" spans="1:25" s="16" customFormat="1" ht="15.75" x14ac:dyDescent="0.25">
      <c r="A8" s="17"/>
      <c r="D8" s="155"/>
      <c r="E8" s="189"/>
      <c r="F8" s="189"/>
      <c r="G8" s="199" t="s">
        <v>56</v>
      </c>
      <c r="X8" s="24"/>
      <c r="Y8" s="23"/>
    </row>
    <row r="9" spans="1:25" s="19" customFormat="1" x14ac:dyDescent="0.2">
      <c r="A9" s="17"/>
      <c r="C9" s="144" t="s">
        <v>36</v>
      </c>
      <c r="D9" s="175" t="s">
        <v>20</v>
      </c>
      <c r="E9" s="239" t="s">
        <v>1</v>
      </c>
      <c r="F9" s="239" t="s">
        <v>2</v>
      </c>
      <c r="G9" s="200" t="s">
        <v>3</v>
      </c>
      <c r="H9" s="20" t="s">
        <v>4</v>
      </c>
      <c r="I9" s="21" t="s">
        <v>5</v>
      </c>
      <c r="J9" s="21" t="s">
        <v>6</v>
      </c>
      <c r="K9" s="21" t="s">
        <v>7</v>
      </c>
      <c r="L9" s="21" t="s">
        <v>8</v>
      </c>
      <c r="M9" s="22" t="s">
        <v>9</v>
      </c>
      <c r="N9" s="22" t="s">
        <v>10</v>
      </c>
      <c r="O9" s="22" t="s">
        <v>11</v>
      </c>
      <c r="P9" s="22" t="s">
        <v>12</v>
      </c>
      <c r="Q9" s="19">
        <v>2015</v>
      </c>
      <c r="R9" s="19">
        <v>2016</v>
      </c>
      <c r="S9" s="19">
        <v>2017</v>
      </c>
      <c r="T9" s="19">
        <v>2018</v>
      </c>
      <c r="U9" s="19">
        <v>2019</v>
      </c>
      <c r="V9" s="19">
        <v>2020</v>
      </c>
      <c r="W9" s="17" t="s">
        <v>46</v>
      </c>
      <c r="X9" s="24"/>
      <c r="Y9" s="23"/>
    </row>
    <row r="10" spans="1:25" s="2" customFormat="1" x14ac:dyDescent="0.2">
      <c r="A10" s="31"/>
      <c r="B10" s="53" t="s">
        <v>57</v>
      </c>
      <c r="C10" s="145"/>
      <c r="D10" s="149"/>
      <c r="E10" s="149"/>
      <c r="F10" s="149"/>
      <c r="G10" s="201"/>
      <c r="X10" s="9"/>
      <c r="Y10" s="11"/>
    </row>
    <row r="11" spans="1:25" s="2" customFormat="1" x14ac:dyDescent="0.2">
      <c r="A11" s="31"/>
      <c r="B11" s="103"/>
      <c r="C11" s="145"/>
      <c r="D11" s="149"/>
      <c r="E11" s="149"/>
      <c r="F11" s="149"/>
      <c r="G11" s="201"/>
      <c r="X11" s="9"/>
      <c r="Y11" s="11"/>
    </row>
    <row r="12" spans="1:25" s="2" customFormat="1" x14ac:dyDescent="0.2">
      <c r="A12" s="31"/>
      <c r="B12" s="72" t="s">
        <v>73</v>
      </c>
      <c r="C12" s="145"/>
      <c r="D12" s="157">
        <v>90</v>
      </c>
      <c r="E12" s="157">
        <v>85.9</v>
      </c>
      <c r="F12" s="157">
        <v>89.7</v>
      </c>
      <c r="G12" s="202">
        <v>92</v>
      </c>
      <c r="H12" s="12">
        <f t="shared" ref="H12:P12" si="1">+G12*(1+H13)</f>
        <v>94.07</v>
      </c>
      <c r="I12" s="12">
        <f t="shared" si="1"/>
        <v>96.186574999999991</v>
      </c>
      <c r="J12" s="12">
        <f t="shared" si="1"/>
        <v>98.350772937499983</v>
      </c>
      <c r="K12" s="12">
        <f t="shared" si="1"/>
        <v>100.56366532859373</v>
      </c>
      <c r="L12" s="12">
        <f t="shared" si="1"/>
        <v>102.82634779848708</v>
      </c>
      <c r="M12" s="12">
        <f t="shared" si="1"/>
        <v>105.13994062395304</v>
      </c>
      <c r="N12" s="12">
        <f t="shared" si="1"/>
        <v>107.50558928799198</v>
      </c>
      <c r="O12" s="12">
        <f t="shared" si="1"/>
        <v>109.92446504697179</v>
      </c>
      <c r="P12" s="12">
        <f t="shared" si="1"/>
        <v>112.39776551052866</v>
      </c>
      <c r="Q12" s="12">
        <f>+P12*4</f>
        <v>449.59106204211463</v>
      </c>
      <c r="R12" s="12">
        <f>+Q12*(1+R13)</f>
        <v>517.02972134843174</v>
      </c>
      <c r="S12" s="12">
        <f>+R12*(1+S13)</f>
        <v>594.58417955069649</v>
      </c>
      <c r="T12" s="12">
        <f>+S12*(1+T13)</f>
        <v>683.77180648330091</v>
      </c>
      <c r="U12" s="12">
        <f>+T12*(1+U13)</f>
        <v>786.33757745579601</v>
      </c>
      <c r="V12" s="12">
        <f>+U12*(1+V13)</f>
        <v>904.28821407416535</v>
      </c>
      <c r="X12" s="9"/>
      <c r="Y12" s="11"/>
    </row>
    <row r="13" spans="1:25" s="2" customFormat="1" x14ac:dyDescent="0.2">
      <c r="A13" s="31"/>
      <c r="B13" s="73" t="s">
        <v>76</v>
      </c>
      <c r="C13" s="146"/>
      <c r="D13" s="146"/>
      <c r="E13" s="190"/>
      <c r="F13" s="190"/>
      <c r="G13" s="203"/>
      <c r="H13" s="77">
        <f t="shared" ref="H13:R13" si="2">+H5</f>
        <v>2.2499999999999999E-2</v>
      </c>
      <c r="I13" s="77">
        <f t="shared" si="2"/>
        <v>2.2499999999999999E-2</v>
      </c>
      <c r="J13" s="77">
        <f t="shared" si="2"/>
        <v>2.2499999999999999E-2</v>
      </c>
      <c r="K13" s="77">
        <f t="shared" si="2"/>
        <v>2.2499999999999999E-2</v>
      </c>
      <c r="L13" s="77">
        <f t="shared" si="2"/>
        <v>2.2499999999999999E-2</v>
      </c>
      <c r="M13" s="77">
        <f t="shared" si="2"/>
        <v>2.2499999999999999E-2</v>
      </c>
      <c r="N13" s="77">
        <f t="shared" si="2"/>
        <v>2.2499999999999999E-2</v>
      </c>
      <c r="O13" s="77">
        <f t="shared" si="2"/>
        <v>2.2499999999999999E-2</v>
      </c>
      <c r="P13" s="77">
        <f t="shared" si="2"/>
        <v>2.2499999999999999E-2</v>
      </c>
      <c r="Q13" s="77">
        <f t="shared" si="2"/>
        <v>0.15</v>
      </c>
      <c r="R13" s="77">
        <f t="shared" si="2"/>
        <v>0.15</v>
      </c>
      <c r="S13" s="77">
        <f>+S5</f>
        <v>0.15</v>
      </c>
      <c r="T13" s="77">
        <f>+T5</f>
        <v>0.15</v>
      </c>
      <c r="U13" s="77">
        <f>+U5</f>
        <v>0.15</v>
      </c>
      <c r="V13" s="77">
        <f>+V5</f>
        <v>0.15</v>
      </c>
      <c r="X13" s="9"/>
      <c r="Y13" s="11"/>
    </row>
    <row r="14" spans="1:25" s="111" customFormat="1" x14ac:dyDescent="0.2">
      <c r="A14" s="109"/>
      <c r="B14" s="110" t="s">
        <v>122</v>
      </c>
      <c r="C14" s="107"/>
      <c r="D14" s="107">
        <v>0.39400000000000002</v>
      </c>
      <c r="E14" s="107">
        <v>0.4</v>
      </c>
      <c r="F14" s="107">
        <f t="shared" ref="F14:R14" si="3">+E14</f>
        <v>0.4</v>
      </c>
      <c r="G14" s="204">
        <f t="shared" si="3"/>
        <v>0.4</v>
      </c>
      <c r="H14" s="111">
        <f t="shared" si="3"/>
        <v>0.4</v>
      </c>
      <c r="I14" s="111">
        <f t="shared" si="3"/>
        <v>0.4</v>
      </c>
      <c r="J14" s="111">
        <f t="shared" si="3"/>
        <v>0.4</v>
      </c>
      <c r="K14" s="111">
        <f t="shared" si="3"/>
        <v>0.4</v>
      </c>
      <c r="L14" s="111">
        <f t="shared" si="3"/>
        <v>0.4</v>
      </c>
      <c r="M14" s="111">
        <f t="shared" si="3"/>
        <v>0.4</v>
      </c>
      <c r="N14" s="111">
        <f t="shared" si="3"/>
        <v>0.4</v>
      </c>
      <c r="O14" s="111">
        <f t="shared" si="3"/>
        <v>0.4</v>
      </c>
      <c r="P14" s="111">
        <f t="shared" si="3"/>
        <v>0.4</v>
      </c>
      <c r="Q14" s="111">
        <f t="shared" si="3"/>
        <v>0.4</v>
      </c>
      <c r="R14" s="111">
        <f t="shared" si="3"/>
        <v>0.4</v>
      </c>
      <c r="S14" s="111">
        <f>+R14</f>
        <v>0.4</v>
      </c>
      <c r="T14" s="111">
        <f>+S14</f>
        <v>0.4</v>
      </c>
      <c r="U14" s="111">
        <f>+T14</f>
        <v>0.4</v>
      </c>
      <c r="V14" s="111">
        <f>+U14</f>
        <v>0.4</v>
      </c>
    </row>
    <row r="15" spans="1:25" s="2" customFormat="1" x14ac:dyDescent="0.2">
      <c r="A15" s="31"/>
      <c r="B15" s="26" t="s">
        <v>75</v>
      </c>
      <c r="C15" s="145"/>
      <c r="D15" s="80">
        <f>+D12*D14</f>
        <v>35.46</v>
      </c>
      <c r="E15" s="80">
        <f>+E12*E14</f>
        <v>34.360000000000007</v>
      </c>
      <c r="F15" s="80">
        <f t="shared" ref="F15:R15" si="4">+F12*F14</f>
        <v>35.880000000000003</v>
      </c>
      <c r="G15" s="205">
        <f t="shared" si="4"/>
        <v>36.800000000000004</v>
      </c>
      <c r="H15" s="80">
        <f t="shared" si="4"/>
        <v>37.628</v>
      </c>
      <c r="I15" s="80">
        <f t="shared" si="4"/>
        <v>38.474629999999998</v>
      </c>
      <c r="J15" s="80">
        <f t="shared" si="4"/>
        <v>39.340309174999994</v>
      </c>
      <c r="K15" s="80">
        <f t="shared" si="4"/>
        <v>40.225466131437493</v>
      </c>
      <c r="L15" s="80">
        <f t="shared" si="4"/>
        <v>41.130539119394832</v>
      </c>
      <c r="M15" s="80">
        <f t="shared" si="4"/>
        <v>42.055976249581221</v>
      </c>
      <c r="N15" s="80">
        <f t="shared" si="4"/>
        <v>43.002235715196797</v>
      </c>
      <c r="O15" s="80">
        <f t="shared" si="4"/>
        <v>43.969786018788717</v>
      </c>
      <c r="P15" s="80">
        <f t="shared" si="4"/>
        <v>44.959106204211466</v>
      </c>
      <c r="Q15" s="80">
        <f t="shared" si="4"/>
        <v>179.83642481684586</v>
      </c>
      <c r="R15" s="80">
        <f t="shared" si="4"/>
        <v>206.81188853937272</v>
      </c>
      <c r="S15" s="80">
        <f>+S12*S14</f>
        <v>237.8336718202786</v>
      </c>
      <c r="T15" s="80">
        <f>+T12*T14</f>
        <v>273.50872259332039</v>
      </c>
      <c r="U15" s="80">
        <f>+U12*U14</f>
        <v>314.5350309823184</v>
      </c>
      <c r="V15" s="80">
        <f>+V12*V14</f>
        <v>361.71528562966614</v>
      </c>
      <c r="X15" s="9"/>
      <c r="Y15" s="11"/>
    </row>
    <row r="16" spans="1:25" s="2" customFormat="1" x14ac:dyDescent="0.2">
      <c r="A16" s="31"/>
      <c r="B16" s="72"/>
      <c r="C16" s="145"/>
      <c r="D16" s="157"/>
      <c r="E16" s="157"/>
      <c r="F16" s="157"/>
      <c r="G16" s="202"/>
      <c r="H16" s="12"/>
      <c r="I16" s="12"/>
      <c r="J16" s="12"/>
      <c r="K16" s="12"/>
      <c r="L16" s="12"/>
      <c r="M16" s="12"/>
      <c r="N16" s="12"/>
      <c r="O16" s="12"/>
      <c r="P16" s="12"/>
      <c r="Q16" s="12"/>
      <c r="R16" s="12"/>
      <c r="S16" s="12"/>
      <c r="T16" s="12"/>
      <c r="U16" s="12"/>
      <c r="V16" s="12"/>
      <c r="X16" s="9"/>
      <c r="Y16" s="11"/>
    </row>
    <row r="17" spans="1:25" s="2" customFormat="1" x14ac:dyDescent="0.2">
      <c r="A17" s="31"/>
      <c r="B17" s="72" t="s">
        <v>74</v>
      </c>
      <c r="C17" s="145"/>
      <c r="D17" s="157">
        <v>223.3</v>
      </c>
      <c r="E17" s="157">
        <f>+E22-E12</f>
        <v>203.20000000000002</v>
      </c>
      <c r="F17" s="157">
        <f>+F22-F12</f>
        <v>196.8</v>
      </c>
      <c r="G17" s="202">
        <f>+G22-G12</f>
        <v>175.7</v>
      </c>
      <c r="H17" s="12">
        <f t="shared" ref="H17:R17" si="5">+G17*(1+H18)</f>
        <v>167.96919999999997</v>
      </c>
      <c r="I17" s="12">
        <f t="shared" si="5"/>
        <v>160.57855519999995</v>
      </c>
      <c r="J17" s="12">
        <f t="shared" si="5"/>
        <v>153.51309877119996</v>
      </c>
      <c r="K17" s="12">
        <f t="shared" si="5"/>
        <v>146.75852242526716</v>
      </c>
      <c r="L17" s="12">
        <f t="shared" si="5"/>
        <v>140.3011474385554</v>
      </c>
      <c r="M17" s="12">
        <f t="shared" si="5"/>
        <v>134.12789695125895</v>
      </c>
      <c r="N17" s="12">
        <f t="shared" si="5"/>
        <v>128.22626948540355</v>
      </c>
      <c r="O17" s="12">
        <f t="shared" si="5"/>
        <v>122.58431362804579</v>
      </c>
      <c r="P17" s="12">
        <f t="shared" si="5"/>
        <v>117.19060382841177</v>
      </c>
      <c r="Q17" s="12">
        <f>+P17*4</f>
        <v>468.76241531364707</v>
      </c>
      <c r="R17" s="12">
        <f t="shared" si="5"/>
        <v>398.4480530166</v>
      </c>
      <c r="S17" s="12">
        <f>+R17*(1+S18)</f>
        <v>358.60324771493998</v>
      </c>
      <c r="T17" s="12">
        <f>+S17*(1+T18)</f>
        <v>340.67308532919299</v>
      </c>
      <c r="U17" s="12">
        <f>+T17*(1+U18)</f>
        <v>340.67308532919299</v>
      </c>
      <c r="V17" s="12">
        <f>+U17*(1+V18)</f>
        <v>340.67308532919299</v>
      </c>
      <c r="X17" s="9"/>
      <c r="Y17" s="11"/>
    </row>
    <row r="18" spans="1:25" s="2" customFormat="1" x14ac:dyDescent="0.2">
      <c r="A18" s="31"/>
      <c r="B18" s="73" t="s">
        <v>79</v>
      </c>
      <c r="C18" s="145"/>
      <c r="D18" s="157"/>
      <c r="E18" s="191"/>
      <c r="F18" s="191"/>
      <c r="G18" s="206"/>
      <c r="H18" s="78">
        <f t="shared" ref="H18:R18" si="6">+H6</f>
        <v>-4.3999999999999997E-2</v>
      </c>
      <c r="I18" s="78">
        <f t="shared" si="6"/>
        <v>-4.3999999999999997E-2</v>
      </c>
      <c r="J18" s="78">
        <f t="shared" si="6"/>
        <v>-4.3999999999999997E-2</v>
      </c>
      <c r="K18" s="78">
        <f t="shared" si="6"/>
        <v>-4.3999999999999997E-2</v>
      </c>
      <c r="L18" s="78">
        <f t="shared" si="6"/>
        <v>-4.3999999999999997E-2</v>
      </c>
      <c r="M18" s="78">
        <f t="shared" si="6"/>
        <v>-4.3999999999999997E-2</v>
      </c>
      <c r="N18" s="78">
        <f t="shared" si="6"/>
        <v>-4.3999999999999997E-2</v>
      </c>
      <c r="O18" s="78">
        <f t="shared" si="6"/>
        <v>-4.3999999999999997E-2</v>
      </c>
      <c r="P18" s="78">
        <f t="shared" si="6"/>
        <v>-4.3999999999999997E-2</v>
      </c>
      <c r="Q18" s="78">
        <f t="shared" si="6"/>
        <v>-0.15</v>
      </c>
      <c r="R18" s="78">
        <f t="shared" si="6"/>
        <v>-0.15</v>
      </c>
      <c r="S18" s="78">
        <f>+S6</f>
        <v>-0.1</v>
      </c>
      <c r="T18" s="78">
        <f>+T6</f>
        <v>-0.05</v>
      </c>
      <c r="U18" s="78">
        <f>+U6</f>
        <v>0</v>
      </c>
      <c r="V18" s="78">
        <f>+V6</f>
        <v>0</v>
      </c>
      <c r="X18" s="9"/>
      <c r="Y18" s="11"/>
    </row>
    <row r="19" spans="1:25" s="111" customFormat="1" ht="15" x14ac:dyDescent="0.25">
      <c r="A19" s="109"/>
      <c r="B19" s="110" t="s">
        <v>122</v>
      </c>
      <c r="C19" s="147"/>
      <c r="D19" s="107">
        <v>0.5</v>
      </c>
      <c r="E19" s="107">
        <v>0.55000000000000004</v>
      </c>
      <c r="F19" s="107">
        <v>0.56000000000000005</v>
      </c>
      <c r="G19" s="204">
        <v>0.54500000000000004</v>
      </c>
      <c r="H19" s="107">
        <v>0.54</v>
      </c>
      <c r="I19" s="107">
        <v>0.54</v>
      </c>
      <c r="J19" s="107">
        <v>0.53500000000000003</v>
      </c>
      <c r="K19" s="107">
        <v>0.53</v>
      </c>
      <c r="L19" s="107">
        <v>0.53</v>
      </c>
      <c r="M19" s="107">
        <v>0.53</v>
      </c>
      <c r="N19" s="107">
        <v>0.53</v>
      </c>
      <c r="O19" s="107">
        <v>0.53</v>
      </c>
      <c r="P19" s="107">
        <v>0.53</v>
      </c>
      <c r="Q19" s="107">
        <v>0.53</v>
      </c>
      <c r="R19" s="107">
        <v>0.53</v>
      </c>
      <c r="S19" s="107">
        <v>0.53</v>
      </c>
      <c r="T19" s="107">
        <v>0.53</v>
      </c>
      <c r="U19" s="107">
        <v>0.53</v>
      </c>
      <c r="V19" s="107">
        <v>0.53</v>
      </c>
      <c r="W19" s="128"/>
    </row>
    <row r="20" spans="1:25" s="2" customFormat="1" x14ac:dyDescent="0.2">
      <c r="A20" s="31"/>
      <c r="B20" s="26" t="s">
        <v>77</v>
      </c>
      <c r="C20" s="145"/>
      <c r="D20" s="80">
        <f>+D17*D19</f>
        <v>111.65</v>
      </c>
      <c r="E20" s="80">
        <f>+E23-E15</f>
        <v>111.63999999999999</v>
      </c>
      <c r="F20" s="80">
        <f>+F23-F15</f>
        <v>109.32</v>
      </c>
      <c r="G20" s="205">
        <f t="shared" ref="G20:R20" si="7">+G17*G19</f>
        <v>95.756500000000003</v>
      </c>
      <c r="H20" s="80">
        <f t="shared" si="7"/>
        <v>90.703367999999998</v>
      </c>
      <c r="I20" s="80">
        <f t="shared" si="7"/>
        <v>86.712419807999979</v>
      </c>
      <c r="J20" s="80">
        <f t="shared" si="7"/>
        <v>82.129507842591991</v>
      </c>
      <c r="K20" s="80">
        <f t="shared" si="7"/>
        <v>77.782016885391599</v>
      </c>
      <c r="L20" s="80">
        <f t="shared" si="7"/>
        <v>74.359608142434368</v>
      </c>
      <c r="M20" s="80">
        <f t="shared" si="7"/>
        <v>71.087785384167248</v>
      </c>
      <c r="N20" s="80">
        <f t="shared" si="7"/>
        <v>67.959922827263881</v>
      </c>
      <c r="O20" s="80">
        <f t="shared" si="7"/>
        <v>64.969686222864269</v>
      </c>
      <c r="P20" s="80">
        <f t="shared" si="7"/>
        <v>62.111020029058238</v>
      </c>
      <c r="Q20" s="80">
        <f t="shared" si="7"/>
        <v>248.44408011623295</v>
      </c>
      <c r="R20" s="80">
        <f t="shared" si="7"/>
        <v>211.17746809879802</v>
      </c>
      <c r="S20" s="80">
        <f>+S17*S19</f>
        <v>190.05972128891821</v>
      </c>
      <c r="T20" s="80">
        <f>+T17*T19</f>
        <v>180.55673522447231</v>
      </c>
      <c r="U20" s="80">
        <f>+U17*U19</f>
        <v>180.55673522447231</v>
      </c>
      <c r="V20" s="80">
        <f>+V17*V19</f>
        <v>180.55673522447231</v>
      </c>
      <c r="X20" s="9"/>
      <c r="Y20" s="11"/>
    </row>
    <row r="21" spans="1:25" s="2" customFormat="1" x14ac:dyDescent="0.2">
      <c r="A21" s="31"/>
      <c r="B21" s="73"/>
      <c r="C21" s="145"/>
      <c r="D21" s="38"/>
      <c r="E21" s="38"/>
      <c r="F21" s="38"/>
      <c r="G21" s="207"/>
      <c r="H21" s="38"/>
      <c r="I21" s="38"/>
      <c r="J21" s="38"/>
      <c r="K21" s="38"/>
      <c r="L21" s="38"/>
      <c r="M21" s="38"/>
      <c r="N21" s="38"/>
      <c r="O21" s="38"/>
      <c r="P21" s="38"/>
      <c r="Q21" s="38"/>
      <c r="R21" s="38"/>
      <c r="S21" s="38"/>
      <c r="T21" s="38"/>
      <c r="U21" s="38"/>
      <c r="V21" s="38"/>
      <c r="X21" s="9"/>
      <c r="Y21" s="11"/>
    </row>
    <row r="22" spans="1:25" s="2" customFormat="1" x14ac:dyDescent="0.2">
      <c r="A22" s="31"/>
      <c r="B22" s="73" t="s">
        <v>80</v>
      </c>
      <c r="C22" s="145"/>
      <c r="D22" s="157">
        <f>+D12+D17</f>
        <v>313.3</v>
      </c>
      <c r="E22" s="157">
        <v>289.10000000000002</v>
      </c>
      <c r="F22" s="157">
        <v>286.5</v>
      </c>
      <c r="G22" s="202">
        <v>267.7</v>
      </c>
      <c r="H22" s="12">
        <f t="shared" ref="H22:R22" si="8">+H12+H17</f>
        <v>262.03919999999994</v>
      </c>
      <c r="I22" s="12">
        <f t="shared" si="8"/>
        <v>256.76513019999993</v>
      </c>
      <c r="J22" s="12">
        <f t="shared" si="8"/>
        <v>251.86387170869995</v>
      </c>
      <c r="K22" s="12">
        <f t="shared" si="8"/>
        <v>247.32218775386087</v>
      </c>
      <c r="L22" s="12">
        <f t="shared" si="8"/>
        <v>243.12749523704247</v>
      </c>
      <c r="M22" s="12">
        <f t="shared" si="8"/>
        <v>239.26783757521198</v>
      </c>
      <c r="N22" s="12">
        <f t="shared" si="8"/>
        <v>235.73185877339552</v>
      </c>
      <c r="O22" s="12">
        <f t="shared" si="8"/>
        <v>232.5087786750176</v>
      </c>
      <c r="P22" s="12">
        <f t="shared" si="8"/>
        <v>229.58836933894042</v>
      </c>
      <c r="Q22" s="12">
        <f t="shared" si="8"/>
        <v>918.3534773557617</v>
      </c>
      <c r="R22" s="12">
        <f t="shared" si="8"/>
        <v>915.47777436503179</v>
      </c>
      <c r="S22" s="12">
        <f>+S12+S17</f>
        <v>953.18742726563642</v>
      </c>
      <c r="T22" s="12">
        <f>+T12+T17</f>
        <v>1024.444891812494</v>
      </c>
      <c r="U22" s="12">
        <f>+U12+U17</f>
        <v>1127.0106627849891</v>
      </c>
      <c r="V22" s="12">
        <f>+V12+V17</f>
        <v>1244.9612994033582</v>
      </c>
      <c r="X22" s="9"/>
      <c r="Y22" s="11"/>
    </row>
    <row r="23" spans="1:25" s="26" customFormat="1" ht="13.5" thickBot="1" x14ac:dyDescent="0.25">
      <c r="A23" s="32" t="s">
        <v>15</v>
      </c>
      <c r="B23" s="32" t="s">
        <v>112</v>
      </c>
      <c r="C23" s="148"/>
      <c r="D23" s="81">
        <f>+D15+D20</f>
        <v>147.11000000000001</v>
      </c>
      <c r="E23" s="81">
        <v>146</v>
      </c>
      <c r="F23" s="81">
        <v>145.19999999999999</v>
      </c>
      <c r="G23" s="208">
        <v>137.80000000000001</v>
      </c>
      <c r="H23" s="81">
        <f t="shared" ref="H23:R23" si="9">+H15+H20</f>
        <v>128.331368</v>
      </c>
      <c r="I23" s="81">
        <f t="shared" si="9"/>
        <v>125.18704980799998</v>
      </c>
      <c r="J23" s="81">
        <f t="shared" si="9"/>
        <v>121.46981701759199</v>
      </c>
      <c r="K23" s="81">
        <f t="shared" si="9"/>
        <v>118.0074830168291</v>
      </c>
      <c r="L23" s="81">
        <f t="shared" si="9"/>
        <v>115.49014726182921</v>
      </c>
      <c r="M23" s="81">
        <f t="shared" si="9"/>
        <v>113.14376163374847</v>
      </c>
      <c r="N23" s="81">
        <f t="shared" si="9"/>
        <v>110.96215854246068</v>
      </c>
      <c r="O23" s="81">
        <f t="shared" si="9"/>
        <v>108.93947224165299</v>
      </c>
      <c r="P23" s="81">
        <f t="shared" si="9"/>
        <v>107.0701262332697</v>
      </c>
      <c r="Q23" s="81">
        <f t="shared" si="9"/>
        <v>428.28050493307882</v>
      </c>
      <c r="R23" s="81">
        <f t="shared" si="9"/>
        <v>417.98935663817076</v>
      </c>
      <c r="S23" s="81">
        <f>+S15+S20</f>
        <v>427.89339310919684</v>
      </c>
      <c r="T23" s="81">
        <f>+T15+T20</f>
        <v>454.06545781779266</v>
      </c>
      <c r="U23" s="81">
        <f>+U15+U20</f>
        <v>495.09176620679068</v>
      </c>
      <c r="V23" s="81">
        <f>+V15+V20</f>
        <v>542.27202085413842</v>
      </c>
      <c r="X23" s="28"/>
      <c r="Y23" s="29"/>
    </row>
    <row r="24" spans="1:25" s="26" customFormat="1" ht="13.5" thickTop="1" x14ac:dyDescent="0.2">
      <c r="A24" s="32"/>
      <c r="B24" s="26" t="s">
        <v>81</v>
      </c>
      <c r="C24" s="148" t="s">
        <v>125</v>
      </c>
      <c r="D24" s="83">
        <f>+D23/D22</f>
        <v>0.46954995212256628</v>
      </c>
      <c r="E24" s="241">
        <f>+E23/E22</f>
        <v>0.50501556554825311</v>
      </c>
      <c r="F24" s="241">
        <f>+F23/F22</f>
        <v>0.50680628272251305</v>
      </c>
      <c r="G24" s="242">
        <f t="shared" ref="G24:R24" si="10">+G23/G22</f>
        <v>0.51475532312289884</v>
      </c>
      <c r="H24" s="241">
        <f t="shared" si="10"/>
        <v>0.4897411074373606</v>
      </c>
      <c r="I24" s="240">
        <f t="shared" si="10"/>
        <v>0.48755471473283413</v>
      </c>
      <c r="J24" s="240">
        <f t="shared" si="10"/>
        <v>0.4822836089730298</v>
      </c>
      <c r="K24" s="240">
        <f t="shared" si="10"/>
        <v>0.4771407049587969</v>
      </c>
      <c r="L24" s="240">
        <f t="shared" si="10"/>
        <v>0.47501886674409066</v>
      </c>
      <c r="M24" s="83">
        <f t="shared" si="10"/>
        <v>0.47287492870069764</v>
      </c>
      <c r="N24" s="83">
        <f t="shared" si="10"/>
        <v>0.47071345858739638</v>
      </c>
      <c r="O24" s="83">
        <f t="shared" si="10"/>
        <v>0.46853917887513391</v>
      </c>
      <c r="P24" s="83">
        <f t="shared" si="10"/>
        <v>0.46635692627444247</v>
      </c>
      <c r="Q24" s="83">
        <f t="shared" si="10"/>
        <v>0.46635692627444247</v>
      </c>
      <c r="R24" s="83">
        <f t="shared" si="10"/>
        <v>0.45658056191269625</v>
      </c>
      <c r="S24" s="83">
        <f>+S23/S22</f>
        <v>0.44890792814659164</v>
      </c>
      <c r="T24" s="83">
        <f>+T23/T22</f>
        <v>0.44323073056125023</v>
      </c>
      <c r="U24" s="83">
        <f>+U23/U22</f>
        <v>0.43929643485657438</v>
      </c>
      <c r="V24" s="83">
        <f>+V23/V22</f>
        <v>0.435573395826858</v>
      </c>
      <c r="X24" s="28"/>
      <c r="Y24" s="29"/>
    </row>
    <row r="25" spans="1:25" s="2" customFormat="1" x14ac:dyDescent="0.2">
      <c r="A25" s="31"/>
      <c r="B25" s="103"/>
      <c r="C25" s="145"/>
      <c r="D25" s="149"/>
      <c r="E25" s="149"/>
      <c r="F25" s="149"/>
      <c r="G25" s="201"/>
      <c r="X25" s="9"/>
      <c r="Y25" s="11"/>
    </row>
    <row r="26" spans="1:25" s="26" customFormat="1" x14ac:dyDescent="0.2">
      <c r="A26" s="32"/>
      <c r="B26" s="25"/>
      <c r="C26" s="148"/>
      <c r="D26" s="38"/>
      <c r="E26" s="38"/>
      <c r="F26" s="38"/>
      <c r="G26" s="207"/>
      <c r="H26" s="38"/>
      <c r="I26" s="38"/>
      <c r="J26" s="38"/>
      <c r="K26" s="38"/>
      <c r="L26" s="38"/>
      <c r="M26" s="38"/>
      <c r="N26" s="38"/>
      <c r="O26" s="38"/>
      <c r="P26" s="38"/>
      <c r="Q26" s="38"/>
      <c r="R26" s="38"/>
      <c r="S26" s="38"/>
      <c r="T26" s="38"/>
      <c r="U26" s="38"/>
      <c r="V26" s="38"/>
      <c r="X26" s="28"/>
      <c r="Y26" s="29"/>
    </row>
    <row r="27" spans="1:25" s="2" customFormat="1" x14ac:dyDescent="0.2">
      <c r="A27" s="31"/>
      <c r="B27" s="53" t="s">
        <v>47</v>
      </c>
      <c r="C27" s="149"/>
      <c r="D27" s="157"/>
      <c r="E27" s="157"/>
      <c r="F27" s="157"/>
      <c r="G27" s="202"/>
      <c r="H27" s="12"/>
      <c r="I27" s="12"/>
      <c r="J27" s="12"/>
      <c r="K27" s="12"/>
      <c r="L27" s="12"/>
      <c r="M27" s="12"/>
      <c r="N27" s="12"/>
      <c r="O27" s="12"/>
      <c r="P27" s="12"/>
      <c r="Q27" s="12"/>
      <c r="R27" s="12"/>
      <c r="S27" s="12"/>
      <c r="T27" s="12"/>
      <c r="U27" s="12"/>
      <c r="V27" s="12"/>
      <c r="X27" s="9"/>
      <c r="Y27" s="11"/>
    </row>
    <row r="28" spans="1:25" s="2" customFormat="1" x14ac:dyDescent="0.2">
      <c r="A28" s="31"/>
      <c r="B28" s="25" t="s">
        <v>17</v>
      </c>
      <c r="C28" s="149"/>
      <c r="D28" s="157"/>
      <c r="E28" s="157"/>
      <c r="F28" s="157"/>
      <c r="G28" s="202"/>
      <c r="H28" s="12"/>
      <c r="I28" s="12"/>
      <c r="J28" s="12"/>
      <c r="K28" s="12"/>
      <c r="L28" s="12"/>
      <c r="M28" s="12"/>
      <c r="N28" s="12"/>
      <c r="O28" s="12"/>
      <c r="P28" s="12"/>
      <c r="Q28" s="12"/>
      <c r="R28" s="12"/>
      <c r="S28" s="12"/>
      <c r="T28" s="12"/>
      <c r="U28" s="12"/>
      <c r="V28" s="12"/>
      <c r="X28" s="9"/>
      <c r="Y28" s="11"/>
    </row>
    <row r="29" spans="1:25" s="2" customFormat="1" x14ac:dyDescent="0.2">
      <c r="A29" s="31"/>
      <c r="B29" s="1" t="s">
        <v>89</v>
      </c>
      <c r="C29" s="149"/>
      <c r="D29" s="157">
        <f>266*0.05/4</f>
        <v>3.3250000000000002</v>
      </c>
      <c r="E29" s="157">
        <v>2.0699999999999998</v>
      </c>
      <c r="F29" s="157">
        <v>1.7825</v>
      </c>
      <c r="G29" s="202">
        <v>1.4950000000000001</v>
      </c>
      <c r="H29" s="12">
        <v>1.2075</v>
      </c>
      <c r="I29" s="12">
        <v>0.92</v>
      </c>
      <c r="J29" s="12"/>
      <c r="K29" s="12"/>
      <c r="L29" s="12"/>
      <c r="M29" s="12"/>
      <c r="N29" s="12"/>
      <c r="O29" s="12"/>
      <c r="P29" s="12"/>
      <c r="Q29" s="12"/>
      <c r="R29" s="12"/>
      <c r="S29" s="12"/>
      <c r="T29" s="12"/>
      <c r="U29" s="12"/>
      <c r="V29" s="12"/>
      <c r="X29" s="9"/>
      <c r="Y29" s="11"/>
    </row>
    <row r="30" spans="1:25" s="2" customFormat="1" x14ac:dyDescent="0.2">
      <c r="A30" s="31"/>
      <c r="B30" s="1" t="s">
        <v>90</v>
      </c>
      <c r="C30" s="149"/>
      <c r="D30" s="157"/>
      <c r="E30" s="157">
        <f>+Y70/4</f>
        <v>2.629</v>
      </c>
      <c r="F30" s="157">
        <f>+E30</f>
        <v>2.629</v>
      </c>
      <c r="G30" s="202">
        <f>+F30</f>
        <v>2.629</v>
      </c>
      <c r="H30" s="12">
        <f>+G30</f>
        <v>2.629</v>
      </c>
      <c r="I30" s="12">
        <f>+H30*0.5</f>
        <v>1.3145</v>
      </c>
      <c r="J30" s="12"/>
      <c r="K30" s="12"/>
      <c r="L30" s="12"/>
      <c r="M30" s="27">
        <v>1.65</v>
      </c>
      <c r="N30" s="27">
        <v>1.65</v>
      </c>
      <c r="O30" s="27">
        <v>1.65</v>
      </c>
      <c r="P30" s="27">
        <v>1.65</v>
      </c>
      <c r="Q30" s="12"/>
      <c r="R30" s="12"/>
      <c r="S30" s="12"/>
      <c r="T30" s="12"/>
      <c r="U30" s="12"/>
      <c r="V30" s="12"/>
      <c r="X30" s="9"/>
      <c r="Y30" s="11"/>
    </row>
    <row r="31" spans="1:25" s="2" customFormat="1" x14ac:dyDescent="0.2">
      <c r="A31" s="31"/>
      <c r="B31" s="1" t="s">
        <v>25</v>
      </c>
      <c r="C31" s="187"/>
      <c r="D31" s="157">
        <v>0</v>
      </c>
      <c r="E31" s="157">
        <v>0</v>
      </c>
      <c r="F31" s="157"/>
      <c r="G31" s="202"/>
      <c r="H31" s="12"/>
      <c r="I31" s="12"/>
      <c r="J31" s="12"/>
      <c r="K31" s="12"/>
      <c r="L31" s="12"/>
      <c r="M31" s="12"/>
      <c r="N31" s="12"/>
      <c r="O31" s="12"/>
      <c r="P31" s="12"/>
      <c r="Q31" s="12"/>
      <c r="R31" s="12"/>
      <c r="S31" s="12"/>
      <c r="T31" s="12"/>
      <c r="U31" s="12"/>
      <c r="V31" s="12"/>
      <c r="X31" s="9"/>
      <c r="Y31" s="11"/>
    </row>
    <row r="32" spans="1:25" s="2" customFormat="1" x14ac:dyDescent="0.2">
      <c r="A32" s="31"/>
      <c r="B32" s="1" t="s">
        <v>34</v>
      </c>
      <c r="C32" s="149"/>
      <c r="D32" s="157">
        <f t="shared" ref="D32:K32" si="11">+$Y73/4</f>
        <v>2.875</v>
      </c>
      <c r="E32" s="157">
        <f t="shared" si="11"/>
        <v>2.875</v>
      </c>
      <c r="F32" s="157">
        <f t="shared" si="11"/>
        <v>2.875</v>
      </c>
      <c r="G32" s="202">
        <f t="shared" si="11"/>
        <v>2.875</v>
      </c>
      <c r="H32" s="12">
        <f t="shared" si="11"/>
        <v>2.875</v>
      </c>
      <c r="I32" s="12">
        <f t="shared" si="11"/>
        <v>2.875</v>
      </c>
      <c r="J32" s="12">
        <f t="shared" si="11"/>
        <v>2.875</v>
      </c>
      <c r="K32" s="12">
        <f t="shared" si="11"/>
        <v>2.875</v>
      </c>
      <c r="L32" s="127">
        <v>0.9</v>
      </c>
      <c r="M32" s="127">
        <f>+$Y73/4*0</f>
        <v>0</v>
      </c>
      <c r="N32" s="127">
        <f>+M32</f>
        <v>0</v>
      </c>
      <c r="O32" s="127">
        <f>+N32</f>
        <v>0</v>
      </c>
      <c r="P32" s="127">
        <f>+O32</f>
        <v>0</v>
      </c>
      <c r="Q32" s="127">
        <f>+P32*4</f>
        <v>0</v>
      </c>
      <c r="R32" s="127">
        <f>+Q32</f>
        <v>0</v>
      </c>
      <c r="S32" s="127">
        <f>+R32</f>
        <v>0</v>
      </c>
      <c r="T32" s="127">
        <f>+S32</f>
        <v>0</v>
      </c>
      <c r="U32" s="127">
        <f>+T32</f>
        <v>0</v>
      </c>
      <c r="V32" s="127">
        <f>+U32</f>
        <v>0</v>
      </c>
      <c r="X32" s="9"/>
      <c r="Y32" s="11"/>
    </row>
    <row r="33" spans="1:25" s="2" customFormat="1" x14ac:dyDescent="0.2">
      <c r="A33" s="31"/>
      <c r="B33" s="1" t="s">
        <v>14</v>
      </c>
      <c r="C33" s="149"/>
      <c r="D33" s="157"/>
      <c r="E33" s="157"/>
      <c r="F33" s="157"/>
      <c r="G33" s="202"/>
      <c r="H33" s="12"/>
      <c r="I33" s="12"/>
      <c r="J33" s="12"/>
      <c r="K33" s="12"/>
      <c r="L33" s="12"/>
      <c r="M33" s="12"/>
      <c r="N33" s="12"/>
      <c r="O33" s="12"/>
      <c r="P33" s="12"/>
      <c r="Q33" s="12"/>
      <c r="R33" s="12"/>
      <c r="S33" s="12"/>
      <c r="T33" s="12"/>
      <c r="U33" s="12"/>
      <c r="V33" s="12"/>
      <c r="X33" s="9"/>
      <c r="Y33" s="11"/>
    </row>
    <row r="34" spans="1:25" s="2" customFormat="1" x14ac:dyDescent="0.2">
      <c r="A34" s="31"/>
      <c r="B34" s="7" t="s">
        <v>27</v>
      </c>
      <c r="C34" s="149"/>
      <c r="D34" s="157">
        <f t="shared" ref="D34:P41" si="12">+$Y75/4</f>
        <v>2.1125000000000003</v>
      </c>
      <c r="E34" s="157">
        <f t="shared" si="12"/>
        <v>2.1125000000000003</v>
      </c>
      <c r="F34" s="157">
        <f t="shared" si="12"/>
        <v>2.1125000000000003</v>
      </c>
      <c r="G34" s="202">
        <f t="shared" si="12"/>
        <v>2.1125000000000003</v>
      </c>
      <c r="H34" s="12">
        <f t="shared" si="12"/>
        <v>2.1125000000000003</v>
      </c>
      <c r="I34" s="12">
        <f t="shared" si="12"/>
        <v>2.1125000000000003</v>
      </c>
      <c r="J34" s="12">
        <f t="shared" si="12"/>
        <v>2.1125000000000003</v>
      </c>
      <c r="K34" s="12"/>
      <c r="L34" s="12"/>
      <c r="M34" s="12"/>
      <c r="N34" s="12"/>
      <c r="O34" s="12"/>
      <c r="P34" s="12"/>
      <c r="Q34" s="12"/>
      <c r="R34" s="12"/>
      <c r="S34" s="12"/>
      <c r="T34" s="12"/>
      <c r="U34" s="12"/>
      <c r="V34" s="12"/>
      <c r="X34" s="9"/>
      <c r="Y34" s="11"/>
    </row>
    <row r="35" spans="1:25" s="2" customFormat="1" x14ac:dyDescent="0.2">
      <c r="A35" s="31"/>
      <c r="B35" s="1" t="s">
        <v>26</v>
      </c>
      <c r="C35" s="149"/>
      <c r="D35" s="157">
        <f t="shared" si="12"/>
        <v>2.140625</v>
      </c>
      <c r="E35" s="157">
        <f t="shared" si="12"/>
        <v>2.140625</v>
      </c>
      <c r="F35" s="157">
        <f t="shared" si="12"/>
        <v>2.140625</v>
      </c>
      <c r="G35" s="202">
        <f t="shared" si="12"/>
        <v>2.140625</v>
      </c>
      <c r="H35" s="12">
        <f t="shared" si="12"/>
        <v>2.140625</v>
      </c>
      <c r="I35" s="12">
        <f t="shared" si="12"/>
        <v>2.140625</v>
      </c>
      <c r="J35" s="12">
        <f t="shared" si="12"/>
        <v>2.140625</v>
      </c>
      <c r="K35" s="12">
        <f t="shared" si="12"/>
        <v>2.140625</v>
      </c>
      <c r="L35" s="12">
        <f t="shared" si="12"/>
        <v>2.140625</v>
      </c>
      <c r="M35" s="12"/>
      <c r="N35" s="12"/>
      <c r="O35" s="12"/>
      <c r="P35" s="12"/>
      <c r="Q35" s="12"/>
      <c r="R35" s="12"/>
      <c r="S35" s="12"/>
      <c r="T35" s="12"/>
      <c r="U35" s="12"/>
      <c r="V35" s="12"/>
      <c r="X35" s="9"/>
      <c r="Y35" s="11"/>
    </row>
    <row r="36" spans="1:25" s="2" customFormat="1" x14ac:dyDescent="0.2">
      <c r="A36" s="31"/>
      <c r="B36" s="1" t="s">
        <v>28</v>
      </c>
      <c r="C36" s="149"/>
      <c r="D36" s="157">
        <f t="shared" si="12"/>
        <v>3.6401249999999998</v>
      </c>
      <c r="E36" s="157">
        <f t="shared" si="12"/>
        <v>3.6401249999999998</v>
      </c>
      <c r="F36" s="157">
        <f t="shared" si="12"/>
        <v>3.6401249999999998</v>
      </c>
      <c r="G36" s="202">
        <f t="shared" si="12"/>
        <v>3.6401249999999998</v>
      </c>
      <c r="H36" s="12">
        <f t="shared" si="12"/>
        <v>3.6401249999999998</v>
      </c>
      <c r="I36" s="12">
        <f t="shared" si="12"/>
        <v>3.6401249999999998</v>
      </c>
      <c r="J36" s="12">
        <f t="shared" si="12"/>
        <v>3.6401249999999998</v>
      </c>
      <c r="K36" s="12">
        <f t="shared" si="12"/>
        <v>3.6401249999999998</v>
      </c>
      <c r="L36" s="12">
        <f t="shared" si="12"/>
        <v>3.6401249999999998</v>
      </c>
      <c r="M36" s="12">
        <f t="shared" si="12"/>
        <v>3.6401249999999998</v>
      </c>
      <c r="N36" s="12"/>
      <c r="O36" s="12"/>
      <c r="P36" s="12"/>
      <c r="Q36" s="12"/>
      <c r="R36" s="12"/>
      <c r="S36" s="12"/>
      <c r="T36" s="12"/>
      <c r="U36" s="12"/>
      <c r="V36" s="12"/>
      <c r="X36" s="9"/>
      <c r="Y36" s="11"/>
    </row>
    <row r="37" spans="1:25" s="2" customFormat="1" x14ac:dyDescent="0.2">
      <c r="A37" s="31"/>
      <c r="B37" s="1" t="s">
        <v>29</v>
      </c>
      <c r="C37" s="149"/>
      <c r="D37" s="157">
        <f t="shared" si="12"/>
        <v>2.5185</v>
      </c>
      <c r="E37" s="157">
        <f t="shared" si="12"/>
        <v>2.5185</v>
      </c>
      <c r="F37" s="157">
        <f t="shared" si="12"/>
        <v>2.5185</v>
      </c>
      <c r="G37" s="202">
        <f t="shared" si="12"/>
        <v>2.5185</v>
      </c>
      <c r="H37" s="12">
        <f t="shared" si="12"/>
        <v>2.5185</v>
      </c>
      <c r="I37" s="12">
        <f t="shared" si="12"/>
        <v>2.5185</v>
      </c>
      <c r="J37" s="12">
        <f t="shared" si="12"/>
        <v>2.5185</v>
      </c>
      <c r="K37" s="12">
        <f t="shared" si="12"/>
        <v>2.5185</v>
      </c>
      <c r="L37" s="12">
        <f t="shared" si="12"/>
        <v>2.5185</v>
      </c>
      <c r="M37" s="12">
        <f t="shared" si="12"/>
        <v>2.5185</v>
      </c>
      <c r="N37" s="12">
        <f t="shared" si="12"/>
        <v>2.5185</v>
      </c>
      <c r="O37" s="12">
        <f t="shared" si="12"/>
        <v>2.5185</v>
      </c>
      <c r="P37" s="12">
        <f t="shared" si="12"/>
        <v>2.5185</v>
      </c>
      <c r="Q37" s="12">
        <v>1.5</v>
      </c>
      <c r="R37" s="12"/>
      <c r="S37" s="12"/>
      <c r="T37" s="12"/>
      <c r="U37" s="12"/>
      <c r="V37" s="12"/>
      <c r="X37" s="9"/>
      <c r="Y37" s="11"/>
    </row>
    <row r="38" spans="1:25" s="2" customFormat="1" x14ac:dyDescent="0.2">
      <c r="A38" s="31"/>
      <c r="B38" s="1" t="s">
        <v>30</v>
      </c>
      <c r="C38" s="149"/>
      <c r="D38" s="157">
        <f t="shared" si="12"/>
        <v>4.2</v>
      </c>
      <c r="E38" s="157">
        <f t="shared" si="12"/>
        <v>4.2</v>
      </c>
      <c r="F38" s="157">
        <f t="shared" si="12"/>
        <v>4.2</v>
      </c>
      <c r="G38" s="202">
        <f t="shared" si="12"/>
        <v>4.2</v>
      </c>
      <c r="H38" s="12">
        <f t="shared" si="12"/>
        <v>4.2</v>
      </c>
      <c r="I38" s="12">
        <f t="shared" si="12"/>
        <v>4.2</v>
      </c>
      <c r="J38" s="12">
        <f t="shared" si="12"/>
        <v>4.2</v>
      </c>
      <c r="K38" s="12">
        <f t="shared" si="12"/>
        <v>4.2</v>
      </c>
      <c r="L38" s="12">
        <f t="shared" si="12"/>
        <v>4.2</v>
      </c>
      <c r="M38" s="12">
        <f t="shared" si="12"/>
        <v>4.2</v>
      </c>
      <c r="N38" s="12">
        <f t="shared" si="12"/>
        <v>4.2</v>
      </c>
      <c r="O38" s="12">
        <f t="shared" si="12"/>
        <v>4.2</v>
      </c>
      <c r="P38" s="12">
        <f t="shared" si="12"/>
        <v>4.2</v>
      </c>
      <c r="Q38" s="12">
        <f>+P38*4</f>
        <v>16.8</v>
      </c>
      <c r="R38" s="12">
        <f>+Q38/6</f>
        <v>2.8000000000000003</v>
      </c>
      <c r="S38" s="12"/>
      <c r="T38" s="12"/>
      <c r="U38" s="12"/>
      <c r="V38" s="12"/>
      <c r="X38" s="9"/>
      <c r="Y38" s="11"/>
    </row>
    <row r="39" spans="1:25" s="2" customFormat="1" x14ac:dyDescent="0.2">
      <c r="A39" s="31"/>
      <c r="B39" s="1" t="s">
        <v>31</v>
      </c>
      <c r="C39" s="149"/>
      <c r="D39" s="157">
        <f t="shared" si="12"/>
        <v>1.769625</v>
      </c>
      <c r="E39" s="157">
        <f t="shared" si="12"/>
        <v>1.769625</v>
      </c>
      <c r="F39" s="157">
        <f t="shared" si="12"/>
        <v>1.769625</v>
      </c>
      <c r="G39" s="202">
        <f t="shared" si="12"/>
        <v>1.769625</v>
      </c>
      <c r="H39" s="12">
        <f t="shared" si="12"/>
        <v>1.769625</v>
      </c>
      <c r="I39" s="12">
        <f t="shared" si="12"/>
        <v>1.769625</v>
      </c>
      <c r="J39" s="12">
        <f t="shared" si="12"/>
        <v>1.769625</v>
      </c>
      <c r="K39" s="12">
        <f t="shared" si="12"/>
        <v>1.769625</v>
      </c>
      <c r="L39" s="12">
        <f t="shared" si="12"/>
        <v>1.769625</v>
      </c>
      <c r="M39" s="12">
        <f t="shared" si="12"/>
        <v>1.769625</v>
      </c>
      <c r="N39" s="12">
        <f t="shared" si="12"/>
        <v>1.769625</v>
      </c>
      <c r="O39" s="12">
        <f t="shared" si="12"/>
        <v>1.769625</v>
      </c>
      <c r="P39" s="12">
        <f t="shared" si="12"/>
        <v>1.769625</v>
      </c>
      <c r="Q39" s="12">
        <f>+P39*4</f>
        <v>7.0785</v>
      </c>
      <c r="R39" s="12">
        <f t="shared" ref="R39:T41" si="13">+Q39</f>
        <v>7.0785</v>
      </c>
      <c r="S39" s="12">
        <f t="shared" si="13"/>
        <v>7.0785</v>
      </c>
      <c r="T39" s="12">
        <f t="shared" si="13"/>
        <v>7.0785</v>
      </c>
      <c r="U39" s="12">
        <f>+T39*0.9</f>
        <v>6.3706500000000004</v>
      </c>
      <c r="V39" s="12"/>
      <c r="X39" s="9"/>
      <c r="Y39" s="11"/>
    </row>
    <row r="40" spans="1:25" s="2" customFormat="1" x14ac:dyDescent="0.2">
      <c r="A40" s="31"/>
      <c r="B40" s="1" t="s">
        <v>32</v>
      </c>
      <c r="C40" s="149"/>
      <c r="D40" s="157">
        <f t="shared" si="12"/>
        <v>5.8125</v>
      </c>
      <c r="E40" s="157">
        <f t="shared" si="12"/>
        <v>5.8125</v>
      </c>
      <c r="F40" s="157">
        <f t="shared" si="12"/>
        <v>5.8125</v>
      </c>
      <c r="G40" s="202">
        <f t="shared" si="12"/>
        <v>5.8125</v>
      </c>
      <c r="H40" s="12">
        <f t="shared" si="12"/>
        <v>5.8125</v>
      </c>
      <c r="I40" s="12">
        <f t="shared" si="12"/>
        <v>5.8125</v>
      </c>
      <c r="J40" s="12">
        <f t="shared" si="12"/>
        <v>5.8125</v>
      </c>
      <c r="K40" s="12">
        <f t="shared" si="12"/>
        <v>5.8125</v>
      </c>
      <c r="L40" s="12">
        <f t="shared" si="12"/>
        <v>5.8125</v>
      </c>
      <c r="M40" s="12">
        <f t="shared" si="12"/>
        <v>5.8125</v>
      </c>
      <c r="N40" s="12">
        <f t="shared" si="12"/>
        <v>5.8125</v>
      </c>
      <c r="O40" s="12">
        <f t="shared" si="12"/>
        <v>5.8125</v>
      </c>
      <c r="P40" s="12">
        <f t="shared" si="12"/>
        <v>5.8125</v>
      </c>
      <c r="Q40" s="12">
        <f>+P40*4</f>
        <v>23.25</v>
      </c>
      <c r="R40" s="12">
        <f t="shared" si="13"/>
        <v>23.25</v>
      </c>
      <c r="S40" s="12">
        <f t="shared" si="13"/>
        <v>23.25</v>
      </c>
      <c r="T40" s="12">
        <f t="shared" si="13"/>
        <v>23.25</v>
      </c>
      <c r="U40" s="12">
        <f>+T40</f>
        <v>23.25</v>
      </c>
      <c r="V40" s="12">
        <f>+U40*0.25</f>
        <v>5.8125</v>
      </c>
      <c r="X40" s="9"/>
      <c r="Y40" s="11"/>
    </row>
    <row r="41" spans="1:25" s="2" customFormat="1" x14ac:dyDescent="0.2">
      <c r="A41" s="31"/>
      <c r="B41" s="1" t="s">
        <v>33</v>
      </c>
      <c r="C41" s="149"/>
      <c r="D41" s="157">
        <f t="shared" si="12"/>
        <v>0.265625</v>
      </c>
      <c r="E41" s="157">
        <f t="shared" si="12"/>
        <v>0.265625</v>
      </c>
      <c r="F41" s="157">
        <f t="shared" si="12"/>
        <v>0.265625</v>
      </c>
      <c r="G41" s="202">
        <f t="shared" si="12"/>
        <v>0.265625</v>
      </c>
      <c r="H41" s="12">
        <f t="shared" si="12"/>
        <v>0.265625</v>
      </c>
      <c r="I41" s="12">
        <f t="shared" si="12"/>
        <v>0.265625</v>
      </c>
      <c r="J41" s="12">
        <f t="shared" si="12"/>
        <v>0.265625</v>
      </c>
      <c r="K41" s="12">
        <f t="shared" si="12"/>
        <v>0.265625</v>
      </c>
      <c r="L41" s="12">
        <f t="shared" si="12"/>
        <v>0.265625</v>
      </c>
      <c r="M41" s="12">
        <f t="shared" si="12"/>
        <v>0.265625</v>
      </c>
      <c r="N41" s="12">
        <f t="shared" si="12"/>
        <v>0.265625</v>
      </c>
      <c r="O41" s="12">
        <f t="shared" si="12"/>
        <v>0.265625</v>
      </c>
      <c r="P41" s="12">
        <f t="shared" si="12"/>
        <v>0.265625</v>
      </c>
      <c r="Q41" s="12">
        <f>+P41*4</f>
        <v>1.0625</v>
      </c>
      <c r="R41" s="12">
        <f t="shared" si="13"/>
        <v>1.0625</v>
      </c>
      <c r="S41" s="12">
        <f t="shared" si="13"/>
        <v>1.0625</v>
      </c>
      <c r="T41" s="12">
        <f t="shared" si="13"/>
        <v>1.0625</v>
      </c>
      <c r="U41" s="12">
        <f>+T41</f>
        <v>1.0625</v>
      </c>
      <c r="V41" s="12">
        <f>+U41</f>
        <v>1.0625</v>
      </c>
      <c r="X41" s="9"/>
      <c r="Y41" s="11"/>
    </row>
    <row r="42" spans="1:25" s="2" customFormat="1" x14ac:dyDescent="0.2">
      <c r="A42" s="31"/>
      <c r="B42" s="19" t="s">
        <v>101</v>
      </c>
      <c r="C42" s="149"/>
      <c r="D42" s="157">
        <f>35.6-28.7</f>
        <v>6.9000000000000021</v>
      </c>
      <c r="E42" s="157">
        <f>32.9-30</f>
        <v>2.8999999999999986</v>
      </c>
      <c r="F42" s="157">
        <v>-2.7</v>
      </c>
      <c r="G42" s="202">
        <v>5.47</v>
      </c>
      <c r="H42" s="12"/>
      <c r="I42" s="12"/>
      <c r="J42" s="12"/>
      <c r="K42" s="12"/>
      <c r="L42" s="12"/>
      <c r="M42" s="12"/>
      <c r="N42" s="12"/>
      <c r="O42" s="12"/>
      <c r="P42" s="12"/>
      <c r="Q42" s="12"/>
      <c r="R42" s="12"/>
      <c r="S42" s="12"/>
      <c r="T42" s="12"/>
      <c r="U42" s="12"/>
      <c r="V42" s="12"/>
      <c r="X42" s="9"/>
      <c r="Y42" s="11"/>
    </row>
    <row r="43" spans="1:25" s="2" customFormat="1" x14ac:dyDescent="0.2">
      <c r="A43" s="31"/>
      <c r="B43" s="19"/>
      <c r="C43" s="149"/>
      <c r="D43" s="157"/>
      <c r="E43" s="157"/>
      <c r="F43" s="157"/>
      <c r="G43" s="202"/>
      <c r="H43" s="12"/>
      <c r="I43" s="12"/>
      <c r="J43" s="12"/>
      <c r="K43" s="12"/>
      <c r="L43" s="12"/>
      <c r="M43" s="12"/>
      <c r="N43" s="12"/>
      <c r="O43" s="12"/>
      <c r="P43" s="12"/>
      <c r="Q43" s="12"/>
      <c r="R43" s="12"/>
      <c r="S43" s="12"/>
      <c r="T43" s="12"/>
      <c r="U43" s="12"/>
      <c r="V43" s="12"/>
      <c r="X43" s="9"/>
      <c r="Y43" s="11"/>
    </row>
    <row r="44" spans="1:25" s="2" customFormat="1" x14ac:dyDescent="0.2">
      <c r="A44" s="31" t="s">
        <v>119</v>
      </c>
      <c r="B44" s="19" t="s">
        <v>115</v>
      </c>
      <c r="C44" s="149"/>
      <c r="D44" s="157"/>
      <c r="E44" s="157">
        <v>1.9</v>
      </c>
      <c r="F44" s="157">
        <f>7.4-E44</f>
        <v>5.5</v>
      </c>
      <c r="G44" s="202"/>
      <c r="H44" s="12"/>
      <c r="I44" s="12"/>
      <c r="J44" s="12"/>
      <c r="K44" s="12"/>
      <c r="L44" s="12"/>
      <c r="M44" s="12"/>
      <c r="N44" s="12"/>
      <c r="O44" s="12"/>
      <c r="P44" s="12"/>
      <c r="Q44" s="12"/>
      <c r="R44" s="12"/>
      <c r="S44" s="12"/>
      <c r="T44" s="12"/>
      <c r="U44" s="12"/>
      <c r="V44" s="12"/>
      <c r="X44" s="9"/>
      <c r="Y44" s="11"/>
    </row>
    <row r="45" spans="1:25" s="2" customFormat="1" x14ac:dyDescent="0.2">
      <c r="A45" s="31"/>
      <c r="B45" s="25"/>
      <c r="C45" s="149"/>
      <c r="D45" s="157"/>
      <c r="E45" s="157"/>
      <c r="F45" s="157"/>
      <c r="G45" s="202"/>
      <c r="H45" s="12"/>
      <c r="I45" s="12"/>
      <c r="J45" s="12"/>
      <c r="K45" s="12"/>
      <c r="L45" s="12"/>
      <c r="M45" s="12"/>
      <c r="N45" s="12"/>
      <c r="O45" s="12"/>
      <c r="P45" s="12"/>
      <c r="Q45" s="12"/>
      <c r="R45" s="12"/>
      <c r="S45" s="12"/>
      <c r="T45" s="12"/>
      <c r="U45" s="12"/>
      <c r="V45" s="12"/>
      <c r="X45" s="9"/>
      <c r="Y45" s="11"/>
    </row>
    <row r="46" spans="1:25" s="2" customFormat="1" x14ac:dyDescent="0.2">
      <c r="A46" s="31"/>
      <c r="B46" s="25" t="s">
        <v>117</v>
      </c>
      <c r="C46" s="149"/>
      <c r="D46" s="157">
        <v>27.3</v>
      </c>
      <c r="E46" s="192">
        <v>29.8</v>
      </c>
      <c r="F46" s="157">
        <v>31.7</v>
      </c>
      <c r="G46" s="202">
        <v>5.6</v>
      </c>
      <c r="H46" s="12">
        <v>31.7</v>
      </c>
      <c r="I46" s="12">
        <v>35</v>
      </c>
      <c r="J46" s="12">
        <f t="shared" ref="J46:P46" si="14">+I46</f>
        <v>35</v>
      </c>
      <c r="K46" s="12">
        <f t="shared" si="14"/>
        <v>35</v>
      </c>
      <c r="L46" s="12">
        <f t="shared" si="14"/>
        <v>35</v>
      </c>
      <c r="M46" s="12">
        <f t="shared" si="14"/>
        <v>35</v>
      </c>
      <c r="N46" s="12">
        <f t="shared" si="14"/>
        <v>35</v>
      </c>
      <c r="O46" s="12">
        <f t="shared" si="14"/>
        <v>35</v>
      </c>
      <c r="P46" s="12">
        <f t="shared" si="14"/>
        <v>35</v>
      </c>
      <c r="Q46" s="12">
        <f>+P46*4</f>
        <v>140</v>
      </c>
      <c r="R46" s="12">
        <f>+Q46</f>
        <v>140</v>
      </c>
      <c r="S46" s="12">
        <f>+R46</f>
        <v>140</v>
      </c>
      <c r="T46" s="12">
        <f>+S46</f>
        <v>140</v>
      </c>
      <c r="U46" s="12">
        <f>+T46</f>
        <v>140</v>
      </c>
      <c r="V46" s="12">
        <f>+U46</f>
        <v>140</v>
      </c>
      <c r="X46" s="9"/>
      <c r="Y46" s="11"/>
    </row>
    <row r="47" spans="1:25" s="2" customFormat="1" x14ac:dyDescent="0.2">
      <c r="A47" s="31"/>
      <c r="C47" s="149"/>
      <c r="D47" s="157"/>
      <c r="E47" s="157"/>
      <c r="F47" s="157"/>
      <c r="G47" s="202"/>
      <c r="H47" s="12"/>
      <c r="I47" s="12"/>
      <c r="J47" s="12"/>
      <c r="K47" s="12"/>
      <c r="L47" s="12"/>
      <c r="M47" s="12"/>
      <c r="N47" s="12"/>
      <c r="O47" s="12"/>
      <c r="P47" s="12"/>
      <c r="Q47" s="12"/>
      <c r="R47" s="12"/>
      <c r="S47" s="12"/>
      <c r="T47" s="12"/>
      <c r="U47" s="12"/>
      <c r="V47" s="12"/>
      <c r="X47" s="9"/>
      <c r="Y47" s="11"/>
    </row>
    <row r="48" spans="1:25" s="2" customFormat="1" x14ac:dyDescent="0.2">
      <c r="A48" s="31"/>
      <c r="B48" s="25" t="s">
        <v>71</v>
      </c>
      <c r="C48" s="149"/>
      <c r="D48" s="157">
        <v>14.7</v>
      </c>
      <c r="E48" s="157">
        <v>8.1999999999999993</v>
      </c>
      <c r="F48" s="157">
        <f>16.9-E48</f>
        <v>8.6999999999999993</v>
      </c>
      <c r="G48" s="202">
        <f>-SUM(E48:F48)+24.8</f>
        <v>7.9000000000000021</v>
      </c>
      <c r="H48" s="12">
        <f t="shared" ref="H48:P48" si="15">+G48</f>
        <v>7.9000000000000021</v>
      </c>
      <c r="I48" s="12">
        <f t="shared" si="15"/>
        <v>7.9000000000000021</v>
      </c>
      <c r="J48" s="12">
        <f t="shared" si="15"/>
        <v>7.9000000000000021</v>
      </c>
      <c r="K48" s="12">
        <f t="shared" si="15"/>
        <v>7.9000000000000021</v>
      </c>
      <c r="L48" s="12">
        <f t="shared" si="15"/>
        <v>7.9000000000000021</v>
      </c>
      <c r="M48" s="12">
        <f t="shared" si="15"/>
        <v>7.9000000000000021</v>
      </c>
      <c r="N48" s="12">
        <f t="shared" si="15"/>
        <v>7.9000000000000021</v>
      </c>
      <c r="O48" s="12">
        <f t="shared" si="15"/>
        <v>7.9000000000000021</v>
      </c>
      <c r="P48" s="12">
        <f t="shared" si="15"/>
        <v>7.9000000000000021</v>
      </c>
      <c r="Q48" s="12">
        <f>+P48*4</f>
        <v>31.600000000000009</v>
      </c>
      <c r="R48" s="12">
        <f>+Q48</f>
        <v>31.600000000000009</v>
      </c>
      <c r="S48" s="12">
        <f>+R48</f>
        <v>31.600000000000009</v>
      </c>
      <c r="T48" s="12">
        <f>+S48</f>
        <v>31.600000000000009</v>
      </c>
      <c r="U48" s="12">
        <f>+T48</f>
        <v>31.600000000000009</v>
      </c>
      <c r="V48" s="12">
        <f>+U48</f>
        <v>31.600000000000009</v>
      </c>
      <c r="X48" s="9"/>
      <c r="Y48" s="11"/>
    </row>
    <row r="49" spans="1:25" s="2" customFormat="1" x14ac:dyDescent="0.2">
      <c r="A49" s="31" t="s">
        <v>119</v>
      </c>
      <c r="B49" s="25" t="s">
        <v>116</v>
      </c>
      <c r="C49" s="149"/>
      <c r="D49" s="157">
        <v>0</v>
      </c>
      <c r="E49" s="157">
        <v>13.036</v>
      </c>
      <c r="F49" s="157">
        <v>0</v>
      </c>
      <c r="G49" s="202">
        <v>3.6</v>
      </c>
      <c r="H49" s="12">
        <v>0</v>
      </c>
      <c r="I49" s="27">
        <v>13</v>
      </c>
      <c r="J49" s="12">
        <v>0</v>
      </c>
      <c r="K49" s="12">
        <v>0</v>
      </c>
      <c r="L49" s="12">
        <v>0</v>
      </c>
      <c r="M49" s="27">
        <v>13</v>
      </c>
      <c r="N49" s="12">
        <v>0</v>
      </c>
      <c r="O49" s="12">
        <v>0</v>
      </c>
      <c r="P49" s="12">
        <v>0</v>
      </c>
      <c r="Q49" s="27">
        <v>13</v>
      </c>
      <c r="R49" s="27">
        <v>13</v>
      </c>
      <c r="S49" s="12">
        <v>0</v>
      </c>
      <c r="T49" s="12">
        <v>0</v>
      </c>
      <c r="U49" s="12">
        <v>0</v>
      </c>
      <c r="V49" s="12">
        <v>0</v>
      </c>
      <c r="X49" s="9"/>
      <c r="Y49" s="11"/>
    </row>
    <row r="50" spans="1:25" s="2" customFormat="1" x14ac:dyDescent="0.2">
      <c r="A50" s="31" t="s">
        <v>119</v>
      </c>
      <c r="B50" s="25" t="s">
        <v>118</v>
      </c>
      <c r="C50" s="149"/>
      <c r="D50" s="157"/>
      <c r="E50" s="157">
        <f>42.736+(315.3-310.1)</f>
        <v>47.935999999999986</v>
      </c>
      <c r="F50" s="157">
        <f>30.4-E50-0.7</f>
        <v>-18.235999999999986</v>
      </c>
      <c r="G50" s="202">
        <f>-SUM(E50:F50)+43.577</f>
        <v>13.876999999999999</v>
      </c>
      <c r="H50" s="12"/>
      <c r="I50" s="12"/>
      <c r="J50" s="12"/>
      <c r="K50" s="12"/>
      <c r="L50" s="12"/>
      <c r="M50" s="12"/>
      <c r="N50" s="12"/>
      <c r="O50" s="12"/>
      <c r="P50" s="12"/>
      <c r="Q50" s="12"/>
      <c r="R50" s="12"/>
      <c r="S50" s="12"/>
      <c r="T50" s="12"/>
      <c r="U50" s="12"/>
      <c r="V50" s="12"/>
      <c r="X50" s="9"/>
      <c r="Y50" s="11"/>
    </row>
    <row r="51" spans="1:25" s="2" customFormat="1" x14ac:dyDescent="0.2">
      <c r="A51" s="31"/>
      <c r="B51" s="25"/>
      <c r="C51" s="149"/>
      <c r="D51" s="157"/>
      <c r="E51" s="157"/>
      <c r="F51" s="157"/>
      <c r="G51" s="202"/>
      <c r="H51" s="12"/>
      <c r="I51" s="12"/>
      <c r="J51" s="12"/>
      <c r="K51" s="12"/>
      <c r="L51" s="12"/>
      <c r="M51" s="12"/>
      <c r="N51" s="12"/>
      <c r="O51" s="12"/>
      <c r="P51" s="12"/>
      <c r="Q51" s="12"/>
      <c r="R51" s="12"/>
      <c r="S51" s="12"/>
      <c r="T51" s="12"/>
      <c r="U51" s="12"/>
      <c r="V51" s="12"/>
      <c r="X51" s="9"/>
      <c r="Y51" s="11"/>
    </row>
    <row r="52" spans="1:25" s="2" customFormat="1" x14ac:dyDescent="0.2">
      <c r="A52" s="31"/>
      <c r="B52" s="25" t="s">
        <v>132</v>
      </c>
      <c r="C52" s="149"/>
      <c r="D52" s="157"/>
      <c r="E52" s="157"/>
      <c r="F52" s="157"/>
      <c r="G52" s="202">
        <v>26.8</v>
      </c>
      <c r="H52" s="12"/>
      <c r="I52" s="12"/>
      <c r="J52" s="12"/>
      <c r="K52" s="12"/>
      <c r="L52" s="12"/>
      <c r="M52" s="12"/>
      <c r="N52" s="12"/>
      <c r="O52" s="12"/>
      <c r="P52" s="12"/>
      <c r="Q52" s="12"/>
      <c r="R52" s="12"/>
      <c r="S52" s="12"/>
      <c r="T52" s="12"/>
      <c r="U52" s="12"/>
      <c r="V52" s="12"/>
      <c r="X52" s="9"/>
      <c r="Y52" s="11"/>
    </row>
    <row r="53" spans="1:25" s="2" customFormat="1" x14ac:dyDescent="0.2">
      <c r="A53" s="31"/>
      <c r="B53" s="25" t="s">
        <v>131</v>
      </c>
      <c r="C53" s="149"/>
      <c r="D53" s="157"/>
      <c r="E53" s="157"/>
      <c r="F53" s="157"/>
      <c r="G53" s="202">
        <v>16.305</v>
      </c>
      <c r="H53" s="12"/>
      <c r="I53" s="12"/>
      <c r="J53" s="12"/>
      <c r="K53" s="12"/>
      <c r="L53" s="12"/>
      <c r="M53" s="12"/>
      <c r="N53" s="12"/>
      <c r="O53" s="12"/>
      <c r="P53" s="12"/>
      <c r="Q53" s="12"/>
      <c r="R53" s="12"/>
      <c r="S53" s="12"/>
      <c r="T53" s="12"/>
      <c r="U53" s="12"/>
      <c r="V53" s="12"/>
      <c r="X53" s="9"/>
      <c r="Y53" s="11"/>
    </row>
    <row r="54" spans="1:25" s="2" customFormat="1" x14ac:dyDescent="0.2">
      <c r="A54" s="31"/>
      <c r="B54" s="25" t="s">
        <v>102</v>
      </c>
      <c r="C54" s="149"/>
      <c r="D54" s="157">
        <v>2.9</v>
      </c>
      <c r="E54" s="157">
        <v>0</v>
      </c>
      <c r="F54" s="157"/>
      <c r="G54" s="202"/>
      <c r="H54" s="12"/>
      <c r="I54" s="12"/>
      <c r="J54" s="12"/>
      <c r="K54" s="12"/>
      <c r="L54" s="12"/>
      <c r="M54" s="12"/>
      <c r="N54" s="12"/>
      <c r="O54" s="12"/>
      <c r="P54" s="12"/>
      <c r="Q54" s="12"/>
      <c r="R54" s="12"/>
      <c r="S54" s="12"/>
      <c r="T54" s="12"/>
      <c r="U54" s="12"/>
      <c r="V54" s="12"/>
      <c r="X54" s="9"/>
      <c r="Y54" s="11"/>
    </row>
    <row r="55" spans="1:25" s="2" customFormat="1" x14ac:dyDescent="0.2">
      <c r="A55" s="31"/>
      <c r="B55" s="2" t="s">
        <v>103</v>
      </c>
      <c r="C55" s="149"/>
      <c r="D55" s="157">
        <v>0.5</v>
      </c>
      <c r="E55" s="157"/>
      <c r="F55" s="157"/>
      <c r="G55" s="202">
        <v>-1.6</v>
      </c>
      <c r="H55" s="12"/>
      <c r="I55" s="12"/>
      <c r="J55" s="12"/>
      <c r="K55" s="12"/>
      <c r="L55" s="12"/>
      <c r="M55" s="12"/>
      <c r="N55" s="12"/>
      <c r="O55" s="12"/>
      <c r="P55" s="12"/>
      <c r="Q55" s="12"/>
      <c r="R55" s="12"/>
      <c r="S55" s="12"/>
      <c r="T55" s="12"/>
      <c r="U55" s="12"/>
      <c r="V55" s="12"/>
      <c r="X55" s="9"/>
      <c r="Y55" s="11"/>
    </row>
    <row r="56" spans="1:25" s="2" customFormat="1" x14ac:dyDescent="0.2">
      <c r="A56" s="31"/>
      <c r="B56" s="25" t="s">
        <v>19</v>
      </c>
      <c r="C56" s="150" t="s">
        <v>107</v>
      </c>
      <c r="D56" s="157">
        <v>10</v>
      </c>
      <c r="E56" s="157">
        <v>0</v>
      </c>
      <c r="F56" s="157">
        <v>0</v>
      </c>
      <c r="G56" s="202">
        <f t="shared" ref="G56:P56" si="16">+F56</f>
        <v>0</v>
      </c>
      <c r="H56" s="12">
        <f t="shared" si="16"/>
        <v>0</v>
      </c>
      <c r="I56" s="12">
        <f t="shared" si="16"/>
        <v>0</v>
      </c>
      <c r="J56" s="12">
        <f t="shared" si="16"/>
        <v>0</v>
      </c>
      <c r="K56" s="12">
        <f t="shared" si="16"/>
        <v>0</v>
      </c>
      <c r="L56" s="12">
        <f t="shared" si="16"/>
        <v>0</v>
      </c>
      <c r="M56" s="12">
        <f t="shared" si="16"/>
        <v>0</v>
      </c>
      <c r="N56" s="12">
        <f t="shared" si="16"/>
        <v>0</v>
      </c>
      <c r="O56" s="12">
        <f t="shared" si="16"/>
        <v>0</v>
      </c>
      <c r="P56" s="12">
        <f t="shared" si="16"/>
        <v>0</v>
      </c>
      <c r="Q56" s="12">
        <f>+P56*4</f>
        <v>0</v>
      </c>
      <c r="R56" s="12">
        <f>+Q56</f>
        <v>0</v>
      </c>
      <c r="S56" s="12">
        <f>+R56</f>
        <v>0</v>
      </c>
      <c r="T56" s="12">
        <f>+S56</f>
        <v>0</v>
      </c>
      <c r="U56" s="12">
        <f>+T56</f>
        <v>0</v>
      </c>
      <c r="V56" s="12">
        <f>+U56</f>
        <v>0</v>
      </c>
      <c r="X56" s="9"/>
      <c r="Y56" s="11"/>
    </row>
    <row r="57" spans="1:25" s="2" customFormat="1" x14ac:dyDescent="0.2">
      <c r="A57" s="31"/>
      <c r="C57" s="150"/>
      <c r="D57" s="13"/>
      <c r="E57" s="13"/>
      <c r="F57" s="13"/>
      <c r="G57" s="210"/>
      <c r="H57" s="13"/>
      <c r="I57" s="13"/>
      <c r="J57" s="13"/>
      <c r="K57" s="13"/>
      <c r="L57" s="13"/>
      <c r="M57" s="13"/>
      <c r="N57" s="13"/>
      <c r="O57" s="13"/>
      <c r="P57" s="13"/>
      <c r="Q57" s="13"/>
      <c r="R57" s="13"/>
      <c r="S57" s="13"/>
      <c r="T57" s="13"/>
      <c r="U57" s="13"/>
      <c r="V57" s="13"/>
      <c r="X57" s="9"/>
      <c r="Y57" s="11"/>
    </row>
    <row r="58" spans="1:25" s="26" customFormat="1" x14ac:dyDescent="0.2">
      <c r="A58" s="32" t="s">
        <v>40</v>
      </c>
      <c r="B58" s="25" t="s">
        <v>21</v>
      </c>
      <c r="C58" s="151"/>
      <c r="D58" s="38">
        <f>SUM(D28:D57)</f>
        <v>90.959500000000006</v>
      </c>
      <c r="E58" s="38">
        <f>SUM(E28:E57)</f>
        <v>133.80549999999999</v>
      </c>
      <c r="F58" s="38">
        <f t="shared" ref="F58:R58" si="17">SUM(F28:F57)</f>
        <v>54.710000000000022</v>
      </c>
      <c r="G58" s="207">
        <f t="shared" si="17"/>
        <v>107.41050000000001</v>
      </c>
      <c r="H58" s="27">
        <f t="shared" si="17"/>
        <v>68.771000000000001</v>
      </c>
      <c r="I58" s="27">
        <f t="shared" si="17"/>
        <v>83.469000000000008</v>
      </c>
      <c r="J58" s="27">
        <f t="shared" si="17"/>
        <v>68.234500000000011</v>
      </c>
      <c r="K58" s="27">
        <f t="shared" si="17"/>
        <v>66.122</v>
      </c>
      <c r="L58" s="27">
        <f t="shared" si="17"/>
        <v>64.147000000000006</v>
      </c>
      <c r="M58" s="27">
        <f t="shared" si="17"/>
        <v>75.756375000000006</v>
      </c>
      <c r="N58" s="27">
        <f t="shared" si="17"/>
        <v>59.116250000000008</v>
      </c>
      <c r="O58" s="27">
        <f t="shared" si="17"/>
        <v>59.116250000000008</v>
      </c>
      <c r="P58" s="27">
        <f t="shared" si="17"/>
        <v>59.116250000000008</v>
      </c>
      <c r="Q58" s="27">
        <f t="shared" si="17"/>
        <v>234.291</v>
      </c>
      <c r="R58" s="27">
        <f t="shared" si="17"/>
        <v>218.791</v>
      </c>
      <c r="S58" s="27">
        <f>SUM(S28:S57)</f>
        <v>202.99099999999999</v>
      </c>
      <c r="T58" s="27">
        <f>SUM(T28:T57)</f>
        <v>202.99099999999999</v>
      </c>
      <c r="U58" s="27">
        <f>SUM(U28:U57)</f>
        <v>202.28315000000003</v>
      </c>
      <c r="V58" s="27">
        <f>SUM(V28:V57)</f>
        <v>178.47500000000002</v>
      </c>
      <c r="X58" s="28"/>
      <c r="Y58" s="29"/>
    </row>
    <row r="59" spans="1:25" s="26" customFormat="1" x14ac:dyDescent="0.2">
      <c r="A59" s="32"/>
      <c r="B59" s="25"/>
      <c r="C59" s="151"/>
      <c r="D59" s="38"/>
      <c r="E59" s="38"/>
      <c r="F59" s="38"/>
      <c r="G59" s="207"/>
      <c r="H59" s="27"/>
      <c r="I59" s="27"/>
      <c r="J59" s="27"/>
      <c r="K59" s="27"/>
      <c r="L59" s="27"/>
      <c r="M59" s="27"/>
      <c r="N59" s="27"/>
      <c r="O59" s="27"/>
      <c r="P59" s="27"/>
      <c r="Q59" s="27"/>
      <c r="R59" s="27"/>
      <c r="S59" s="27"/>
      <c r="T59" s="27"/>
      <c r="U59" s="27"/>
      <c r="V59" s="27"/>
      <c r="X59" s="28"/>
      <c r="Y59" s="29"/>
    </row>
    <row r="60" spans="1:25" s="26" customFormat="1" x14ac:dyDescent="0.2">
      <c r="A60" s="32"/>
      <c r="B60" s="3" t="s">
        <v>35</v>
      </c>
      <c r="C60" s="145"/>
      <c r="D60" s="157">
        <v>52</v>
      </c>
      <c r="E60" s="38"/>
      <c r="F60" s="38"/>
      <c r="G60" s="207"/>
      <c r="H60" s="27"/>
      <c r="I60" s="27"/>
      <c r="J60" s="27"/>
      <c r="K60" s="27"/>
      <c r="L60" s="27"/>
      <c r="M60" s="27"/>
      <c r="N60" s="27"/>
      <c r="O60" s="27"/>
      <c r="P60" s="27"/>
      <c r="Q60" s="27"/>
      <c r="R60" s="27"/>
      <c r="S60" s="27"/>
      <c r="T60" s="27"/>
      <c r="U60" s="27"/>
      <c r="V60" s="27"/>
      <c r="X60" s="28"/>
      <c r="Y60" s="29"/>
    </row>
    <row r="61" spans="1:25" s="2" customFormat="1" x14ac:dyDescent="0.2">
      <c r="A61" s="31"/>
      <c r="B61" s="3" t="s">
        <v>54</v>
      </c>
      <c r="C61" s="145"/>
      <c r="D61" s="157">
        <v>72</v>
      </c>
      <c r="E61" s="157"/>
      <c r="F61" s="13"/>
      <c r="G61" s="210"/>
      <c r="H61" s="13"/>
      <c r="I61" s="13"/>
      <c r="J61" s="13"/>
      <c r="K61" s="13"/>
      <c r="L61" s="13"/>
      <c r="M61" s="13"/>
      <c r="N61" s="13"/>
      <c r="O61" s="13"/>
      <c r="P61" s="13"/>
      <c r="Q61" s="13"/>
      <c r="R61" s="13"/>
      <c r="S61" s="13"/>
      <c r="T61" s="13"/>
      <c r="U61" s="13"/>
      <c r="V61" s="13"/>
      <c r="X61" s="9"/>
      <c r="Y61" s="11"/>
    </row>
    <row r="62" spans="1:25" s="26" customFormat="1" ht="13.5" thickBot="1" x14ac:dyDescent="0.25">
      <c r="A62" s="32" t="s">
        <v>41</v>
      </c>
      <c r="B62" s="25" t="s">
        <v>43</v>
      </c>
      <c r="C62" s="152" t="s">
        <v>44</v>
      </c>
      <c r="D62" s="33">
        <f>+D23-D58+D61+D60</f>
        <v>180.15050000000002</v>
      </c>
      <c r="E62" s="142">
        <f t="shared" ref="E62:V62" si="18">+E23-E58</f>
        <v>12.194500000000005</v>
      </c>
      <c r="F62" s="142">
        <f t="shared" si="18"/>
        <v>90.489999999999966</v>
      </c>
      <c r="G62" s="243">
        <f t="shared" si="18"/>
        <v>30.389499999999998</v>
      </c>
      <c r="H62" s="142">
        <f t="shared" si="18"/>
        <v>59.560367999999997</v>
      </c>
      <c r="I62" s="246">
        <f t="shared" si="18"/>
        <v>41.718049807999975</v>
      </c>
      <c r="J62" s="246">
        <f t="shared" si="18"/>
        <v>53.235317017591981</v>
      </c>
      <c r="K62" s="246">
        <f t="shared" si="18"/>
        <v>51.885483016829099</v>
      </c>
      <c r="L62" s="246">
        <f t="shared" si="18"/>
        <v>51.343147261829202</v>
      </c>
      <c r="M62" s="33">
        <f t="shared" si="18"/>
        <v>37.387386633748463</v>
      </c>
      <c r="N62" s="33">
        <f t="shared" si="18"/>
        <v>51.845908542460677</v>
      </c>
      <c r="O62" s="33">
        <f t="shared" si="18"/>
        <v>49.823222241652985</v>
      </c>
      <c r="P62" s="33">
        <f t="shared" si="18"/>
        <v>47.953876233269696</v>
      </c>
      <c r="Q62" s="142">
        <f t="shared" si="18"/>
        <v>193.98950493307882</v>
      </c>
      <c r="R62" s="142">
        <f t="shared" si="18"/>
        <v>199.19835663817076</v>
      </c>
      <c r="S62" s="142">
        <f t="shared" si="18"/>
        <v>224.90239310919685</v>
      </c>
      <c r="T62" s="142">
        <f t="shared" si="18"/>
        <v>251.07445781779268</v>
      </c>
      <c r="U62" s="142">
        <f t="shared" si="18"/>
        <v>292.80861620679065</v>
      </c>
      <c r="V62" s="142">
        <f t="shared" si="18"/>
        <v>363.7970208541384</v>
      </c>
      <c r="X62" s="28"/>
      <c r="Y62" s="29"/>
    </row>
    <row r="63" spans="1:25" s="26" customFormat="1" ht="13.5" thickTop="1" x14ac:dyDescent="0.2">
      <c r="A63" s="32"/>
      <c r="B63" s="25"/>
      <c r="C63" s="152"/>
      <c r="D63" s="38"/>
      <c r="E63" s="38"/>
      <c r="F63" s="38"/>
      <c r="G63" s="207"/>
      <c r="H63" s="38"/>
      <c r="I63" s="38"/>
      <c r="J63" s="38"/>
      <c r="K63" s="38"/>
      <c r="L63" s="38"/>
      <c r="M63" s="38"/>
      <c r="N63" s="38"/>
      <c r="O63" s="38"/>
      <c r="P63" s="38"/>
      <c r="Q63" s="38"/>
      <c r="R63" s="38"/>
      <c r="S63" s="38"/>
      <c r="T63" s="38"/>
      <c r="U63" s="38"/>
      <c r="V63" s="38"/>
      <c r="X63" s="28"/>
      <c r="Y63" s="29"/>
    </row>
    <row r="64" spans="1:25" s="26" customFormat="1" x14ac:dyDescent="0.2">
      <c r="A64" s="32"/>
      <c r="B64" s="25"/>
      <c r="C64" s="152"/>
      <c r="D64" s="38"/>
      <c r="E64" s="38"/>
      <c r="F64" s="38"/>
      <c r="G64" s="207"/>
      <c r="H64" s="38"/>
      <c r="I64" s="38"/>
      <c r="J64" s="38"/>
      <c r="K64" s="38"/>
      <c r="L64" s="38"/>
      <c r="M64" s="38"/>
      <c r="N64" s="38"/>
      <c r="O64" s="38"/>
      <c r="P64" s="38"/>
      <c r="Q64" s="38"/>
      <c r="R64" s="38"/>
      <c r="S64" s="38"/>
      <c r="T64" s="38"/>
      <c r="U64" s="38"/>
      <c r="V64" s="38"/>
      <c r="X64" s="28"/>
      <c r="Y64" s="29"/>
    </row>
    <row r="65" spans="1:25" s="26" customFormat="1" x14ac:dyDescent="0.2">
      <c r="A65" s="32"/>
      <c r="B65" s="25"/>
      <c r="C65" s="152"/>
      <c r="D65" s="38"/>
      <c r="E65" s="38"/>
      <c r="F65" s="38"/>
      <c r="G65" s="207"/>
      <c r="H65" s="38"/>
      <c r="I65" s="38"/>
      <c r="J65" s="38"/>
      <c r="K65" s="38"/>
      <c r="L65" s="38"/>
      <c r="M65" s="38"/>
      <c r="N65" s="38"/>
      <c r="O65" s="38"/>
      <c r="P65" s="38"/>
      <c r="Q65" s="38"/>
      <c r="R65" s="38"/>
      <c r="S65" s="38"/>
      <c r="T65" s="38"/>
      <c r="U65" s="38"/>
      <c r="V65" s="38"/>
      <c r="X65" s="28"/>
      <c r="Y65" s="29"/>
    </row>
    <row r="66" spans="1:25" s="26" customFormat="1" x14ac:dyDescent="0.2">
      <c r="A66" s="32"/>
      <c r="B66" s="25"/>
      <c r="C66" s="152"/>
      <c r="D66" s="38"/>
      <c r="E66" s="38"/>
      <c r="F66" s="38"/>
      <c r="G66" s="207"/>
      <c r="H66" s="38"/>
      <c r="I66" s="38"/>
      <c r="J66" s="38"/>
      <c r="K66" s="38"/>
      <c r="L66" s="38"/>
      <c r="M66" s="38"/>
      <c r="N66" s="38"/>
      <c r="O66" s="38"/>
      <c r="P66" s="38"/>
      <c r="Q66" s="38"/>
      <c r="R66" s="38"/>
      <c r="S66" s="38"/>
      <c r="T66" s="38"/>
      <c r="U66" s="38"/>
      <c r="V66" s="38"/>
      <c r="X66" s="28"/>
      <c r="Y66" s="29"/>
    </row>
    <row r="67" spans="1:25" s="2" customFormat="1" x14ac:dyDescent="0.2">
      <c r="A67" s="31"/>
      <c r="B67" s="3"/>
      <c r="C67" s="145"/>
      <c r="D67" s="157"/>
      <c r="E67" s="157"/>
      <c r="F67" s="157"/>
      <c r="G67" s="202"/>
      <c r="H67" s="12"/>
      <c r="I67" s="12"/>
      <c r="J67" s="12"/>
      <c r="K67" s="12"/>
      <c r="L67" s="12"/>
      <c r="M67" s="12"/>
      <c r="N67" s="12"/>
      <c r="O67" s="12"/>
      <c r="P67" s="12"/>
      <c r="Q67" s="12"/>
      <c r="R67" s="12"/>
      <c r="S67" s="12"/>
      <c r="T67" s="12"/>
      <c r="U67" s="12"/>
      <c r="V67" s="12"/>
      <c r="X67" s="39" t="s">
        <v>55</v>
      </c>
      <c r="Y67" s="40" t="s">
        <v>49</v>
      </c>
    </row>
    <row r="68" spans="1:25" x14ac:dyDescent="0.2">
      <c r="B68" s="54" t="s">
        <v>22</v>
      </c>
      <c r="C68" s="4"/>
      <c r="D68" s="158"/>
      <c r="E68" s="193"/>
      <c r="F68" s="193"/>
      <c r="G68" s="212"/>
      <c r="H68" s="14"/>
      <c r="I68" s="14"/>
      <c r="J68" s="14"/>
      <c r="K68" s="14"/>
      <c r="L68" s="14"/>
      <c r="M68" s="14"/>
      <c r="N68" s="14"/>
      <c r="O68" s="14"/>
      <c r="P68" s="14"/>
      <c r="Q68" s="14"/>
      <c r="R68" s="14"/>
      <c r="S68" s="14"/>
      <c r="T68" s="14"/>
      <c r="U68" s="14"/>
      <c r="V68" s="14"/>
      <c r="X68" s="41" t="s">
        <v>22</v>
      </c>
      <c r="Y68" s="42" t="s">
        <v>48</v>
      </c>
    </row>
    <row r="69" spans="1:25" x14ac:dyDescent="0.2">
      <c r="A69" s="17" t="s">
        <v>42</v>
      </c>
      <c r="B69" s="1" t="s">
        <v>87</v>
      </c>
      <c r="C69" s="153">
        <v>250</v>
      </c>
      <c r="D69" s="158">
        <v>45</v>
      </c>
      <c r="E69" s="193">
        <v>25</v>
      </c>
      <c r="F69" s="193">
        <v>25</v>
      </c>
      <c r="G69" s="212">
        <v>25</v>
      </c>
      <c r="H69" s="14">
        <v>25</v>
      </c>
      <c r="I69" s="14">
        <f>250-(+D69+E69+F69+G69+H69)</f>
        <v>105</v>
      </c>
      <c r="J69" s="14"/>
      <c r="K69" s="14"/>
      <c r="L69" s="14"/>
      <c r="M69" s="14"/>
      <c r="N69" s="14"/>
      <c r="O69" s="14"/>
      <c r="P69" s="14"/>
      <c r="Q69" s="14"/>
      <c r="R69" s="14"/>
      <c r="S69" s="14"/>
      <c r="T69" s="14"/>
      <c r="U69" s="14"/>
      <c r="V69" s="14"/>
      <c r="X69" s="10">
        <f>+C69-D69-E69</f>
        <v>180</v>
      </c>
      <c r="Y69" s="5">
        <f>+X69*0.044</f>
        <v>7.92</v>
      </c>
    </row>
    <row r="70" spans="1:25" x14ac:dyDescent="0.2">
      <c r="A70" s="17" t="s">
        <v>42</v>
      </c>
      <c r="B70" s="1" t="s">
        <v>88</v>
      </c>
      <c r="C70" s="153">
        <v>16</v>
      </c>
      <c r="D70" s="158">
        <v>16</v>
      </c>
      <c r="E70" s="194">
        <v>-239</v>
      </c>
      <c r="F70" s="193"/>
      <c r="G70" s="212"/>
      <c r="H70" s="14"/>
      <c r="I70" s="36">
        <v>239</v>
      </c>
      <c r="J70" s="14"/>
      <c r="K70" s="14"/>
      <c r="L70" s="14"/>
      <c r="M70" s="14"/>
      <c r="N70" s="14"/>
      <c r="O70" s="14"/>
      <c r="P70" s="14"/>
      <c r="Q70" s="14"/>
      <c r="R70" s="14"/>
      <c r="S70" s="14"/>
      <c r="T70" s="14"/>
      <c r="U70" s="14"/>
      <c r="V70" s="14"/>
      <c r="X70" s="10">
        <v>239</v>
      </c>
      <c r="Y70" s="5">
        <f>+X70*0.044</f>
        <v>10.516</v>
      </c>
    </row>
    <row r="71" spans="1:25" x14ac:dyDescent="0.2">
      <c r="A71" s="17" t="s">
        <v>42</v>
      </c>
      <c r="B71" s="1" t="s">
        <v>25</v>
      </c>
      <c r="C71" s="153">
        <v>35</v>
      </c>
      <c r="D71" s="158">
        <v>35</v>
      </c>
      <c r="E71" s="193"/>
      <c r="F71" s="193"/>
      <c r="G71" s="212"/>
      <c r="H71" s="14"/>
      <c r="I71" s="14"/>
      <c r="J71" s="14"/>
      <c r="K71" s="14"/>
      <c r="L71" s="14"/>
      <c r="M71" s="14"/>
      <c r="N71" s="14"/>
      <c r="O71" s="14"/>
      <c r="P71" s="14"/>
      <c r="Q71" s="14"/>
      <c r="R71" s="14"/>
      <c r="S71" s="14"/>
      <c r="T71" s="14"/>
      <c r="U71" s="14"/>
      <c r="V71" s="14"/>
      <c r="X71" s="10">
        <f>+C71-D71</f>
        <v>0</v>
      </c>
    </row>
    <row r="72" spans="1:25" x14ac:dyDescent="0.2">
      <c r="A72" s="17"/>
      <c r="B72" s="1" t="s">
        <v>114</v>
      </c>
      <c r="C72" s="153"/>
      <c r="D72" s="158"/>
      <c r="E72" s="193">
        <v>0.3</v>
      </c>
      <c r="F72" s="193"/>
      <c r="G72" s="212"/>
      <c r="H72" s="14"/>
      <c r="I72" s="14"/>
      <c r="J72" s="14"/>
      <c r="K72" s="14"/>
      <c r="L72" s="14"/>
      <c r="M72" s="14"/>
      <c r="N72" s="14"/>
      <c r="O72" s="14"/>
      <c r="P72" s="14"/>
      <c r="Q72" s="14"/>
      <c r="R72" s="14"/>
      <c r="S72" s="14"/>
      <c r="T72" s="14"/>
      <c r="U72" s="14"/>
      <c r="V72" s="14"/>
    </row>
    <row r="73" spans="1:25" x14ac:dyDescent="0.2">
      <c r="A73" s="17" t="s">
        <v>42</v>
      </c>
      <c r="B73" s="102" t="s">
        <v>34</v>
      </c>
      <c r="C73" s="154">
        <f>+X73</f>
        <v>184</v>
      </c>
      <c r="D73" s="158"/>
      <c r="E73" s="193"/>
      <c r="F73" s="193"/>
      <c r="G73" s="212"/>
      <c r="H73" s="14"/>
      <c r="I73" s="14"/>
      <c r="J73" s="14"/>
      <c r="K73" s="14"/>
      <c r="L73" s="14"/>
      <c r="M73" s="14"/>
      <c r="N73" s="14"/>
      <c r="O73" s="14"/>
      <c r="P73" s="14"/>
      <c r="Q73" s="14"/>
      <c r="R73" s="14"/>
      <c r="S73" s="14">
        <v>184</v>
      </c>
      <c r="T73" s="14"/>
      <c r="U73" s="14"/>
      <c r="V73" s="14"/>
      <c r="X73" s="10">
        <f t="shared" ref="X73:X82" si="19">SUM(D73:W73)</f>
        <v>184</v>
      </c>
      <c r="Y73" s="5">
        <f>+X73*0.0625</f>
        <v>11.5</v>
      </c>
    </row>
    <row r="74" spans="1:25" x14ac:dyDescent="0.2">
      <c r="A74" s="17" t="s">
        <v>42</v>
      </c>
      <c r="B74" s="19" t="s">
        <v>14</v>
      </c>
      <c r="C74" s="153"/>
      <c r="D74" s="158"/>
      <c r="E74" s="193"/>
      <c r="F74" s="193"/>
      <c r="G74" s="212"/>
      <c r="H74" s="14"/>
      <c r="I74" s="14"/>
      <c r="J74" s="14"/>
      <c r="K74" s="14"/>
      <c r="L74" s="14"/>
      <c r="M74" s="14"/>
      <c r="N74" s="14"/>
      <c r="O74" s="14"/>
      <c r="P74" s="14"/>
      <c r="Q74" s="14"/>
      <c r="R74" s="14"/>
      <c r="S74" s="14"/>
      <c r="T74" s="14"/>
      <c r="U74" s="14"/>
      <c r="V74" s="14"/>
    </row>
    <row r="75" spans="1:25" x14ac:dyDescent="0.2">
      <c r="A75" s="17" t="s">
        <v>42</v>
      </c>
      <c r="B75" s="7" t="s">
        <v>27</v>
      </c>
      <c r="C75" s="154">
        <v>130</v>
      </c>
      <c r="D75" s="158"/>
      <c r="E75" s="193"/>
      <c r="F75" s="193"/>
      <c r="G75" s="212"/>
      <c r="H75" s="14"/>
      <c r="I75" s="14"/>
      <c r="J75" s="14"/>
      <c r="K75" s="14">
        <v>130</v>
      </c>
      <c r="L75" s="14"/>
      <c r="M75" s="14"/>
      <c r="N75" s="14"/>
      <c r="O75" s="14"/>
      <c r="P75" s="14"/>
      <c r="Q75" s="14"/>
      <c r="R75" s="14"/>
      <c r="S75" s="14"/>
      <c r="T75" s="14"/>
      <c r="U75" s="14"/>
      <c r="V75" s="14"/>
      <c r="X75" s="10">
        <f t="shared" si="19"/>
        <v>130</v>
      </c>
      <c r="Y75" s="5">
        <f>+X75*0.065</f>
        <v>8.4500000000000011</v>
      </c>
    </row>
    <row r="76" spans="1:25" x14ac:dyDescent="0.2">
      <c r="A76" s="17" t="s">
        <v>42</v>
      </c>
      <c r="B76" s="1" t="s">
        <v>26</v>
      </c>
      <c r="C76" s="154">
        <v>125</v>
      </c>
      <c r="D76" s="158"/>
      <c r="E76" s="193"/>
      <c r="F76" s="193"/>
      <c r="G76" s="212"/>
      <c r="H76" s="14"/>
      <c r="I76" s="14"/>
      <c r="J76" s="14"/>
      <c r="K76" s="14"/>
      <c r="L76" s="14">
        <v>125</v>
      </c>
      <c r="M76" s="14"/>
      <c r="N76" s="14"/>
      <c r="O76" s="14"/>
      <c r="P76" s="14"/>
      <c r="Q76" s="14"/>
      <c r="R76" s="14"/>
      <c r="S76" s="14"/>
      <c r="T76" s="14"/>
      <c r="U76" s="14"/>
      <c r="V76" s="14"/>
      <c r="X76" s="10">
        <f t="shared" si="19"/>
        <v>125</v>
      </c>
      <c r="Y76" s="5">
        <f>+X76*0.0685</f>
        <v>8.5625</v>
      </c>
    </row>
    <row r="77" spans="1:25" x14ac:dyDescent="0.2">
      <c r="A77" s="17" t="s">
        <v>42</v>
      </c>
      <c r="B77" s="1" t="s">
        <v>28</v>
      </c>
      <c r="C77" s="154">
        <v>255</v>
      </c>
      <c r="D77" s="158"/>
      <c r="E77" s="193"/>
      <c r="F77" s="193"/>
      <c r="G77" s="212"/>
      <c r="H77" s="14"/>
      <c r="I77" s="14"/>
      <c r="J77" s="14"/>
      <c r="K77" s="14"/>
      <c r="L77" s="14"/>
      <c r="M77" s="14"/>
      <c r="N77" s="14">
        <v>255</v>
      </c>
      <c r="O77" s="14"/>
      <c r="P77" s="14"/>
      <c r="Q77" s="14"/>
      <c r="R77" s="14"/>
      <c r="S77" s="14"/>
      <c r="T77" s="14"/>
      <c r="U77" s="14"/>
      <c r="V77" s="14"/>
      <c r="X77" s="10">
        <f t="shared" si="19"/>
        <v>255</v>
      </c>
      <c r="Y77" s="5">
        <f>+X77*0.0571</f>
        <v>14.560499999999999</v>
      </c>
    </row>
    <row r="78" spans="1:25" x14ac:dyDescent="0.2">
      <c r="A78" s="17" t="s">
        <v>42</v>
      </c>
      <c r="B78" s="1" t="s">
        <v>29</v>
      </c>
      <c r="C78" s="154">
        <v>138</v>
      </c>
      <c r="D78" s="158"/>
      <c r="E78" s="193"/>
      <c r="F78" s="193"/>
      <c r="G78" s="212"/>
      <c r="H78" s="14"/>
      <c r="I78" s="14"/>
      <c r="J78" s="14"/>
      <c r="K78" s="14"/>
      <c r="L78" s="14"/>
      <c r="M78" s="14"/>
      <c r="N78" s="14"/>
      <c r="O78" s="14"/>
      <c r="P78" s="14"/>
      <c r="Q78" s="14">
        <v>138</v>
      </c>
      <c r="R78" s="14"/>
      <c r="S78" s="14"/>
      <c r="T78" s="14"/>
      <c r="U78" s="14"/>
      <c r="V78" s="14"/>
      <c r="X78" s="10">
        <f t="shared" si="19"/>
        <v>138</v>
      </c>
      <c r="Y78" s="5">
        <f>+X78*0.073</f>
        <v>10.074</v>
      </c>
    </row>
    <row r="79" spans="1:25" x14ac:dyDescent="0.2">
      <c r="A79" s="17" t="s">
        <v>42</v>
      </c>
      <c r="B79" s="1" t="s">
        <v>30</v>
      </c>
      <c r="C79" s="154">
        <v>320</v>
      </c>
      <c r="D79" s="158"/>
      <c r="E79" s="193"/>
      <c r="F79" s="193"/>
      <c r="G79" s="212"/>
      <c r="H79" s="14"/>
      <c r="I79" s="14"/>
      <c r="J79" s="14"/>
      <c r="K79" s="14"/>
      <c r="L79" s="14"/>
      <c r="M79" s="14"/>
      <c r="N79" s="14"/>
      <c r="O79" s="14"/>
      <c r="P79" s="14"/>
      <c r="Q79" s="14"/>
      <c r="R79" s="14">
        <v>320</v>
      </c>
      <c r="S79" s="14"/>
      <c r="T79" s="14"/>
      <c r="U79" s="14"/>
      <c r="V79" s="14"/>
      <c r="X79" s="10">
        <f t="shared" si="19"/>
        <v>320</v>
      </c>
      <c r="Y79" s="5">
        <f>+X79*0.0525</f>
        <v>16.8</v>
      </c>
    </row>
    <row r="80" spans="1:25" x14ac:dyDescent="0.2">
      <c r="A80" s="17" t="s">
        <v>42</v>
      </c>
      <c r="B80" s="1" t="s">
        <v>31</v>
      </c>
      <c r="C80" s="154">
        <v>121</v>
      </c>
      <c r="D80" s="158"/>
      <c r="E80" s="193"/>
      <c r="F80" s="193"/>
      <c r="G80" s="212"/>
      <c r="H80" s="14"/>
      <c r="I80" s="14"/>
      <c r="J80" s="14"/>
      <c r="K80" s="14"/>
      <c r="L80" s="14"/>
      <c r="M80" s="14"/>
      <c r="N80" s="14"/>
      <c r="O80" s="14"/>
      <c r="P80" s="14"/>
      <c r="Q80" s="14"/>
      <c r="R80" s="14"/>
      <c r="S80" s="14"/>
      <c r="T80" s="14"/>
      <c r="U80" s="14">
        <v>121</v>
      </c>
      <c r="V80" s="14"/>
      <c r="X80" s="10">
        <f t="shared" si="19"/>
        <v>121</v>
      </c>
      <c r="Y80" s="5">
        <f>+X80*0.0585</f>
        <v>7.0785</v>
      </c>
    </row>
    <row r="81" spans="1:25" x14ac:dyDescent="0.2">
      <c r="A81" s="17" t="s">
        <v>42</v>
      </c>
      <c r="B81" s="1" t="s">
        <v>32</v>
      </c>
      <c r="C81" s="154">
        <v>300</v>
      </c>
      <c r="D81" s="158"/>
      <c r="E81" s="193"/>
      <c r="F81" s="193"/>
      <c r="G81" s="212"/>
      <c r="H81" s="14"/>
      <c r="I81" s="14"/>
      <c r="J81" s="14"/>
      <c r="K81" s="14"/>
      <c r="L81" s="14"/>
      <c r="M81" s="14"/>
      <c r="N81" s="14"/>
      <c r="O81" s="14"/>
      <c r="P81" s="14"/>
      <c r="Q81" s="14"/>
      <c r="R81" s="14"/>
      <c r="S81" s="14"/>
      <c r="T81" s="14"/>
      <c r="U81" s="14"/>
      <c r="V81" s="14">
        <v>300</v>
      </c>
      <c r="X81" s="10">
        <f t="shared" si="19"/>
        <v>300</v>
      </c>
      <c r="Y81" s="5">
        <f>+X81*0.0775</f>
        <v>23.25</v>
      </c>
    </row>
    <row r="82" spans="1:25" x14ac:dyDescent="0.2">
      <c r="A82" s="17" t="s">
        <v>42</v>
      </c>
      <c r="B82" s="1" t="s">
        <v>33</v>
      </c>
      <c r="C82" s="154">
        <v>17</v>
      </c>
      <c r="D82" s="158"/>
      <c r="E82" s="193"/>
      <c r="F82" s="193"/>
      <c r="G82" s="212"/>
      <c r="H82" s="14"/>
      <c r="I82" s="14"/>
      <c r="J82" s="14"/>
      <c r="K82" s="14"/>
      <c r="L82" s="14"/>
      <c r="M82" s="14"/>
      <c r="N82" s="14"/>
      <c r="O82" s="14"/>
      <c r="P82" s="14"/>
      <c r="Q82" s="14"/>
      <c r="R82" s="14"/>
      <c r="S82" s="14"/>
      <c r="T82" s="14"/>
      <c r="U82" s="14"/>
      <c r="V82" s="14">
        <v>17</v>
      </c>
      <c r="X82" s="10">
        <f t="shared" si="19"/>
        <v>17</v>
      </c>
      <c r="Y82" s="5">
        <f>+X82*0.0625</f>
        <v>1.0625</v>
      </c>
    </row>
    <row r="83" spans="1:25" x14ac:dyDescent="0.2">
      <c r="B83" s="19" t="s">
        <v>69</v>
      </c>
      <c r="C83" s="35">
        <f>SUM(C69:C82)</f>
        <v>1891</v>
      </c>
      <c r="D83" s="158"/>
      <c r="E83" s="193"/>
      <c r="F83" s="193"/>
      <c r="G83" s="212"/>
      <c r="H83" s="14"/>
      <c r="I83" s="14"/>
      <c r="J83" s="14"/>
      <c r="K83" s="14"/>
      <c r="L83" s="14"/>
      <c r="M83" s="14"/>
      <c r="N83" s="14"/>
      <c r="O83" s="14"/>
      <c r="P83" s="14"/>
      <c r="Q83" s="14"/>
      <c r="R83" s="14"/>
      <c r="S83" s="14"/>
      <c r="T83" s="14"/>
      <c r="U83" s="14"/>
      <c r="V83" s="14"/>
    </row>
    <row r="84" spans="1:25" s="16" customFormat="1" ht="13.5" thickBot="1" x14ac:dyDescent="0.25">
      <c r="A84" s="17" t="s">
        <v>45</v>
      </c>
      <c r="B84" s="16" t="s">
        <v>53</v>
      </c>
      <c r="C84" s="155" t="s">
        <v>51</v>
      </c>
      <c r="D84" s="118">
        <f t="shared" ref="D84:R84" si="20">-SUM(D67:D83)+D62</f>
        <v>84.150500000000022</v>
      </c>
      <c r="E84" s="244">
        <f t="shared" si="20"/>
        <v>225.89449999999999</v>
      </c>
      <c r="F84" s="244">
        <f t="shared" si="20"/>
        <v>65.489999999999966</v>
      </c>
      <c r="G84" s="245">
        <f t="shared" si="20"/>
        <v>5.3894999999999982</v>
      </c>
      <c r="H84" s="244">
        <f t="shared" si="20"/>
        <v>34.560367999999997</v>
      </c>
      <c r="I84" s="248">
        <f t="shared" si="20"/>
        <v>-302.28195019200001</v>
      </c>
      <c r="J84" s="248">
        <f t="shared" si="20"/>
        <v>53.235317017591981</v>
      </c>
      <c r="K84" s="248">
        <f t="shared" si="20"/>
        <v>-78.114516983170901</v>
      </c>
      <c r="L84" s="248">
        <f t="shared" si="20"/>
        <v>-73.656852738170798</v>
      </c>
      <c r="M84" s="118">
        <f t="shared" si="20"/>
        <v>37.387386633748463</v>
      </c>
      <c r="N84" s="118">
        <f t="shared" si="20"/>
        <v>-203.15409145753932</v>
      </c>
      <c r="O84" s="118">
        <f t="shared" si="20"/>
        <v>49.823222241652985</v>
      </c>
      <c r="P84" s="118">
        <f t="shared" si="20"/>
        <v>47.953876233269696</v>
      </c>
      <c r="Q84" s="118">
        <f t="shared" si="20"/>
        <v>55.98950493307882</v>
      </c>
      <c r="R84" s="118">
        <f t="shared" si="20"/>
        <v>-120.80164336182924</v>
      </c>
      <c r="S84" s="118">
        <f>-SUM(S67:S83)+S62</f>
        <v>40.902393109196851</v>
      </c>
      <c r="T84" s="118">
        <f>-SUM(T67:T83)+T62</f>
        <v>251.07445781779268</v>
      </c>
      <c r="U84" s="118">
        <f>-SUM(U67:U83)+U62</f>
        <v>171.80861620679065</v>
      </c>
      <c r="V84" s="118">
        <f>-SUM(V67:V83)+V62</f>
        <v>46.797020854138395</v>
      </c>
      <c r="W84" s="35"/>
      <c r="X84" s="57">
        <f>SUM(X67:X83)</f>
        <v>2009</v>
      </c>
      <c r="Y84" s="57">
        <f>SUM(Y67:Y83)</f>
        <v>119.774</v>
      </c>
    </row>
    <row r="85" spans="1:25" ht="14.25" thickTop="1" thickBot="1" x14ac:dyDescent="0.25">
      <c r="C85" s="4"/>
      <c r="D85" s="158"/>
      <c r="E85" s="193"/>
      <c r="F85" s="193"/>
      <c r="G85" s="212"/>
      <c r="H85" s="14"/>
      <c r="I85" s="14"/>
      <c r="J85" s="14"/>
      <c r="K85" s="14"/>
      <c r="L85" s="14"/>
      <c r="M85" s="14"/>
      <c r="N85" s="14"/>
      <c r="O85" s="14"/>
      <c r="P85" s="14"/>
      <c r="Q85" s="14"/>
      <c r="R85" s="14"/>
      <c r="S85" s="14"/>
      <c r="T85" s="14"/>
      <c r="U85" s="14"/>
      <c r="V85" s="14"/>
      <c r="W85" s="4"/>
    </row>
    <row r="86" spans="1:25" s="176" customFormat="1" ht="13.5" thickBot="1" x14ac:dyDescent="0.25">
      <c r="A86" s="32" t="s">
        <v>52</v>
      </c>
      <c r="B86" s="176" t="s">
        <v>23</v>
      </c>
      <c r="C86" s="216"/>
      <c r="D86" s="215">
        <f>+D84</f>
        <v>84.150500000000022</v>
      </c>
      <c r="E86" s="215">
        <f>+D86+E84</f>
        <v>310.04500000000002</v>
      </c>
      <c r="F86" s="215">
        <f t="shared" ref="F86:R86" si="21">+E86+F84</f>
        <v>375.53499999999997</v>
      </c>
      <c r="G86" s="257">
        <f t="shared" si="21"/>
        <v>380.92449999999997</v>
      </c>
      <c r="H86" s="217">
        <f t="shared" si="21"/>
        <v>415.48486799999995</v>
      </c>
      <c r="I86" s="217">
        <f t="shared" si="21"/>
        <v>113.20291780799994</v>
      </c>
      <c r="J86" s="217">
        <f t="shared" si="21"/>
        <v>166.43823482559191</v>
      </c>
      <c r="K86" s="217">
        <f t="shared" si="21"/>
        <v>88.323717842421004</v>
      </c>
      <c r="L86" s="247">
        <f t="shared" si="21"/>
        <v>14.666865104250206</v>
      </c>
      <c r="M86" s="217">
        <f t="shared" si="21"/>
        <v>52.054251737998669</v>
      </c>
      <c r="N86" s="247">
        <f t="shared" si="21"/>
        <v>-151.09983971954065</v>
      </c>
      <c r="O86" s="217">
        <f t="shared" si="21"/>
        <v>-101.27661747788767</v>
      </c>
      <c r="P86" s="217">
        <f t="shared" si="21"/>
        <v>-53.322741244617973</v>
      </c>
      <c r="Q86" s="217">
        <f t="shared" si="21"/>
        <v>2.666763688460847</v>
      </c>
      <c r="R86" s="247">
        <f t="shared" si="21"/>
        <v>-118.13487967336839</v>
      </c>
      <c r="S86" s="215">
        <f>+R86+S84</f>
        <v>-77.232486564171538</v>
      </c>
      <c r="T86" s="215">
        <f>+S86+T84</f>
        <v>173.84197125362113</v>
      </c>
      <c r="U86" s="215">
        <f>+T86+U84</f>
        <v>345.65058746041177</v>
      </c>
      <c r="V86" s="215">
        <f>+U86+V84</f>
        <v>392.44760831455017</v>
      </c>
      <c r="W86" s="216"/>
      <c r="X86" s="218"/>
      <c r="Y86" s="219"/>
    </row>
    <row r="87" spans="1:25" s="176" customFormat="1" x14ac:dyDescent="0.2">
      <c r="A87" s="32"/>
      <c r="C87" s="216"/>
      <c r="D87" s="215"/>
      <c r="E87" s="215"/>
      <c r="F87" s="215"/>
      <c r="G87" s="217"/>
      <c r="H87" s="217"/>
      <c r="I87" s="217"/>
      <c r="J87" s="217"/>
      <c r="K87" s="217"/>
      <c r="L87" s="215"/>
      <c r="M87" s="217"/>
      <c r="N87" s="215"/>
      <c r="O87" s="217"/>
      <c r="P87" s="217"/>
      <c r="Q87" s="217"/>
      <c r="R87" s="215"/>
      <c r="S87" s="215"/>
      <c r="T87" s="215"/>
      <c r="U87" s="215"/>
      <c r="V87" s="215"/>
      <c r="W87" s="216"/>
      <c r="X87" s="218"/>
      <c r="Y87" s="219"/>
    </row>
    <row r="88" spans="1:25" s="220" customFormat="1" ht="15.75" x14ac:dyDescent="0.25">
      <c r="A88" s="221"/>
      <c r="B88" s="223" t="s">
        <v>128</v>
      </c>
      <c r="C88" s="224"/>
      <c r="D88" s="224">
        <f>-SUM(D68:D82)</f>
        <v>-96</v>
      </c>
      <c r="E88" s="224">
        <f t="shared" ref="E88:V88" si="22">-SUM(E68:E82)</f>
        <v>213.7</v>
      </c>
      <c r="F88" s="224">
        <f t="shared" si="22"/>
        <v>-25</v>
      </c>
      <c r="G88" s="224">
        <f t="shared" si="22"/>
        <v>-25</v>
      </c>
      <c r="H88" s="224">
        <f t="shared" si="22"/>
        <v>-25</v>
      </c>
      <c r="I88" s="224">
        <f t="shared" si="22"/>
        <v>-344</v>
      </c>
      <c r="J88" s="224">
        <f t="shared" si="22"/>
        <v>0</v>
      </c>
      <c r="K88" s="224">
        <f t="shared" si="22"/>
        <v>-130</v>
      </c>
      <c r="L88" s="224">
        <f t="shared" si="22"/>
        <v>-125</v>
      </c>
      <c r="M88" s="224">
        <f t="shared" si="22"/>
        <v>0</v>
      </c>
      <c r="N88" s="224">
        <f t="shared" si="22"/>
        <v>-255</v>
      </c>
      <c r="O88" s="224">
        <f t="shared" si="22"/>
        <v>0</v>
      </c>
      <c r="P88" s="224">
        <f t="shared" si="22"/>
        <v>0</v>
      </c>
      <c r="Q88" s="224">
        <f t="shared" si="22"/>
        <v>-138</v>
      </c>
      <c r="R88" s="224">
        <f t="shared" si="22"/>
        <v>-320</v>
      </c>
      <c r="S88" s="224">
        <f t="shared" si="22"/>
        <v>-184</v>
      </c>
      <c r="T88" s="224">
        <f t="shared" si="22"/>
        <v>0</v>
      </c>
      <c r="U88" s="224">
        <f t="shared" si="22"/>
        <v>-121</v>
      </c>
      <c r="V88" s="225">
        <f t="shared" si="22"/>
        <v>-317</v>
      </c>
      <c r="W88" s="222"/>
      <c r="X88" s="226"/>
      <c r="Y88" s="227"/>
    </row>
    <row r="89" spans="1:25" s="232" customFormat="1" ht="15.75" x14ac:dyDescent="0.25">
      <c r="A89" s="228"/>
      <c r="B89" s="223" t="s">
        <v>127</v>
      </c>
      <c r="C89" s="224">
        <v>1891</v>
      </c>
      <c r="D89" s="224">
        <f>+C89+D88</f>
        <v>1795</v>
      </c>
      <c r="E89" s="224">
        <f t="shared" ref="E89:V89" si="23">+D89+E88</f>
        <v>2008.7</v>
      </c>
      <c r="F89" s="224">
        <f t="shared" si="23"/>
        <v>1983.7</v>
      </c>
      <c r="G89" s="224">
        <f t="shared" si="23"/>
        <v>1958.7</v>
      </c>
      <c r="H89" s="224">
        <f t="shared" si="23"/>
        <v>1933.7</v>
      </c>
      <c r="I89" s="224">
        <f t="shared" si="23"/>
        <v>1589.7</v>
      </c>
      <c r="J89" s="224">
        <f t="shared" si="23"/>
        <v>1589.7</v>
      </c>
      <c r="K89" s="224">
        <f t="shared" si="23"/>
        <v>1459.7</v>
      </c>
      <c r="L89" s="224">
        <f t="shared" si="23"/>
        <v>1334.7</v>
      </c>
      <c r="M89" s="224">
        <f t="shared" si="23"/>
        <v>1334.7</v>
      </c>
      <c r="N89" s="224">
        <f t="shared" si="23"/>
        <v>1079.7</v>
      </c>
      <c r="O89" s="224">
        <f t="shared" si="23"/>
        <v>1079.7</v>
      </c>
      <c r="P89" s="224">
        <f t="shared" si="23"/>
        <v>1079.7</v>
      </c>
      <c r="Q89" s="224">
        <f t="shared" si="23"/>
        <v>941.7</v>
      </c>
      <c r="R89" s="224">
        <f t="shared" si="23"/>
        <v>621.70000000000005</v>
      </c>
      <c r="S89" s="224">
        <f t="shared" si="23"/>
        <v>437.70000000000005</v>
      </c>
      <c r="T89" s="224">
        <f t="shared" si="23"/>
        <v>437.70000000000005</v>
      </c>
      <c r="U89" s="224">
        <f t="shared" si="23"/>
        <v>316.70000000000005</v>
      </c>
      <c r="V89" s="225">
        <f t="shared" si="23"/>
        <v>-0.29999999999995453</v>
      </c>
      <c r="W89" s="229"/>
      <c r="X89" s="230"/>
      <c r="Y89" s="231"/>
    </row>
    <row r="90" spans="1:25" s="16" customFormat="1" x14ac:dyDescent="0.2">
      <c r="A90" s="17"/>
      <c r="B90" s="123" t="s">
        <v>104</v>
      </c>
      <c r="C90" s="124"/>
      <c r="D90" s="125"/>
      <c r="E90" s="125">
        <f>+((+G99+G100+G101)/4)</f>
        <v>5.5473750000000006</v>
      </c>
      <c r="F90" s="125">
        <f>+E90+5.6</f>
        <v>11.147375</v>
      </c>
      <c r="G90" s="125"/>
      <c r="H90" s="125"/>
      <c r="I90" s="125"/>
      <c r="J90" s="125"/>
      <c r="K90" s="125"/>
      <c r="L90" s="125"/>
      <c r="M90" s="125"/>
      <c r="N90" s="125"/>
      <c r="O90" s="125"/>
      <c r="P90" s="125"/>
      <c r="Q90" s="125"/>
      <c r="R90" s="125"/>
      <c r="S90" s="125"/>
      <c r="T90" s="125"/>
      <c r="U90" s="125"/>
      <c r="V90" s="126"/>
      <c r="W90" s="35"/>
      <c r="X90" s="37"/>
      <c r="Y90" s="18"/>
    </row>
    <row r="91" spans="1:25" s="16" customFormat="1" x14ac:dyDescent="0.2">
      <c r="A91" s="17"/>
      <c r="D91" s="105"/>
      <c r="E91" s="36"/>
      <c r="F91" s="36"/>
      <c r="G91" s="36"/>
      <c r="H91" s="36"/>
      <c r="I91" s="36"/>
      <c r="J91" s="36"/>
      <c r="K91" s="36"/>
      <c r="L91" s="105"/>
      <c r="M91" s="36"/>
      <c r="N91" s="105"/>
      <c r="O91" s="36"/>
      <c r="P91" s="36"/>
      <c r="Q91" s="36"/>
      <c r="R91" s="36"/>
      <c r="S91" s="36"/>
      <c r="T91" s="36"/>
      <c r="U91" s="36"/>
      <c r="V91" s="36"/>
      <c r="W91" s="35"/>
      <c r="X91" s="37"/>
      <c r="Y91" s="18"/>
    </row>
    <row r="92" spans="1:25" x14ac:dyDescent="0.2">
      <c r="B92" s="55" t="s">
        <v>50</v>
      </c>
    </row>
    <row r="93" spans="1:25" x14ac:dyDescent="0.2">
      <c r="B93" s="55"/>
      <c r="U93" t="s">
        <v>95</v>
      </c>
    </row>
    <row r="94" spans="1:25" x14ac:dyDescent="0.2">
      <c r="B94" s="55"/>
      <c r="U94" t="s">
        <v>96</v>
      </c>
      <c r="W94" t="s">
        <v>124</v>
      </c>
      <c r="X94" s="10">
        <f>-310-X95</f>
        <v>-71</v>
      </c>
    </row>
    <row r="95" spans="1:25" x14ac:dyDescent="0.2">
      <c r="B95" s="55"/>
      <c r="D95" s="89"/>
      <c r="E95" s="90" t="s">
        <v>66</v>
      </c>
      <c r="F95" s="91"/>
      <c r="G95" s="92"/>
      <c r="W95" t="s">
        <v>98</v>
      </c>
      <c r="X95" s="10">
        <v>-239</v>
      </c>
    </row>
    <row r="96" spans="1:25" x14ac:dyDescent="0.2">
      <c r="B96" s="55"/>
      <c r="D96" s="62" t="s">
        <v>24</v>
      </c>
      <c r="E96" s="88" t="s">
        <v>94</v>
      </c>
      <c r="F96" s="63" t="s">
        <v>93</v>
      </c>
      <c r="G96" s="63" t="s">
        <v>19</v>
      </c>
      <c r="I96" s="236" t="s">
        <v>37</v>
      </c>
      <c r="J96" s="236" t="s">
        <v>129</v>
      </c>
      <c r="U96" t="s">
        <v>100</v>
      </c>
      <c r="X96" s="10">
        <v>-184</v>
      </c>
    </row>
    <row r="97" spans="2:25" ht="13.5" thickBot="1" x14ac:dyDescent="0.25">
      <c r="B97" s="55"/>
      <c r="C97" s="6" t="s">
        <v>15</v>
      </c>
      <c r="D97" s="6">
        <v>1</v>
      </c>
      <c r="E97" s="14">
        <v>251.1</v>
      </c>
      <c r="F97" s="5">
        <v>10.045871999999999</v>
      </c>
      <c r="G97" s="5">
        <f>10*25*0.0425</f>
        <v>10.625</v>
      </c>
      <c r="I97" s="234">
        <f>+G97/F97</f>
        <v>1.0576483554638165</v>
      </c>
      <c r="J97" s="235">
        <f>+I97/4</f>
        <v>0.26441208886595413</v>
      </c>
      <c r="U97" t="s">
        <v>99</v>
      </c>
      <c r="X97" s="93">
        <f>SUM(X84:X96)</f>
        <v>1515</v>
      </c>
    </row>
    <row r="98" spans="2:25" ht="13.5" thickTop="1" x14ac:dyDescent="0.2">
      <c r="B98" s="55"/>
      <c r="C98" s="6" t="s">
        <v>40</v>
      </c>
      <c r="D98" s="6">
        <v>2</v>
      </c>
      <c r="E98" s="14">
        <v>151.6</v>
      </c>
      <c r="F98" s="5">
        <v>6.0621280000000004</v>
      </c>
      <c r="G98" s="5">
        <f>6*1.25</f>
        <v>7.5</v>
      </c>
      <c r="I98" s="234">
        <f>+G98/F98</f>
        <v>1.2371893170187103</v>
      </c>
      <c r="J98" s="235">
        <f>+I98/4</f>
        <v>0.30929732925467757</v>
      </c>
    </row>
    <row r="99" spans="2:25" ht="13.5" thickBot="1" x14ac:dyDescent="0.25">
      <c r="B99" s="55"/>
      <c r="C99" s="6" t="s">
        <v>41</v>
      </c>
      <c r="D99" s="6">
        <v>3</v>
      </c>
      <c r="E99" s="14">
        <f>203</f>
        <v>203</v>
      </c>
      <c r="F99" s="5">
        <v>8.1209000000000007</v>
      </c>
      <c r="G99" s="5">
        <f>203*0.0675</f>
        <v>13.702500000000001</v>
      </c>
      <c r="I99" s="234">
        <f>+G99/F99</f>
        <v>1.687312982551195</v>
      </c>
      <c r="J99" s="235">
        <f>+I99/4</f>
        <v>0.42182824563779875</v>
      </c>
    </row>
    <row r="100" spans="2:25" ht="18.75" thickBot="1" x14ac:dyDescent="0.3">
      <c r="C100" s="6" t="s">
        <v>42</v>
      </c>
      <c r="D100" s="6">
        <v>5</v>
      </c>
      <c r="E100" s="14">
        <f>123</f>
        <v>123</v>
      </c>
      <c r="F100" s="5">
        <v>4.9199200000000003</v>
      </c>
      <c r="G100" s="5">
        <f>123*0.069</f>
        <v>8.4870000000000001</v>
      </c>
      <c r="I100" s="234">
        <f>+G100/F100</f>
        <v>1.7250280492365728</v>
      </c>
      <c r="J100" s="235">
        <f>+I100/4</f>
        <v>0.43125701230914321</v>
      </c>
      <c r="S100" s="19" t="s">
        <v>68</v>
      </c>
      <c r="T100" s="102" t="s">
        <v>58</v>
      </c>
      <c r="U100" t="s">
        <v>57</v>
      </c>
      <c r="V100" s="14">
        <f>(+$E$23+$F$23)*2*0+146.1*4</f>
        <v>584.4</v>
      </c>
      <c r="W100" s="17" t="s">
        <v>67</v>
      </c>
      <c r="X100" s="71">
        <f>+X97/+(V100)</f>
        <v>2.5924024640657084</v>
      </c>
    </row>
    <row r="101" spans="2:25" x14ac:dyDescent="0.2">
      <c r="D101" s="6"/>
      <c r="E101" s="14"/>
      <c r="F101" s="5"/>
      <c r="G101" s="5"/>
      <c r="I101" s="234"/>
      <c r="J101" s="235"/>
      <c r="S101" s="1"/>
      <c r="T101" s="1"/>
      <c r="X101" s="56"/>
    </row>
    <row r="102" spans="2:25" ht="13.5" thickBot="1" x14ac:dyDescent="0.25">
      <c r="E102" s="14"/>
      <c r="X102" s="1" t="s">
        <v>62</v>
      </c>
      <c r="Y102" s="58">
        <f>+Y84*0.5</f>
        <v>59.887</v>
      </c>
    </row>
    <row r="103" spans="2:25" ht="18.75" thickBot="1" x14ac:dyDescent="0.3">
      <c r="D103" s="16" t="s">
        <v>37</v>
      </c>
      <c r="E103" s="34">
        <f>SUM(E97:E102)</f>
        <v>728.7</v>
      </c>
      <c r="F103" s="59">
        <f>SUM(F97:F102)</f>
        <v>29.148820000000004</v>
      </c>
      <c r="G103" s="59">
        <f>SUM(G97:G102)</f>
        <v>40.314500000000002</v>
      </c>
      <c r="S103" s="19" t="s">
        <v>59</v>
      </c>
      <c r="T103" s="102" t="s">
        <v>58</v>
      </c>
      <c r="U103" t="s">
        <v>57</v>
      </c>
      <c r="V103" s="14">
        <f>(+$E$23+$F$23)</f>
        <v>291.2</v>
      </c>
      <c r="X103" s="24" t="s">
        <v>60</v>
      </c>
      <c r="Y103" s="69">
        <f>+V103/Y102</f>
        <v>4.8624910247633037</v>
      </c>
    </row>
    <row r="104" spans="2:25" ht="13.5" thickTop="1" x14ac:dyDescent="0.2"/>
    <row r="105" spans="2:25" x14ac:dyDescent="0.2">
      <c r="B105" s="86"/>
      <c r="D105" s="6">
        <v>7</v>
      </c>
      <c r="E105" s="14">
        <v>2.9</v>
      </c>
      <c r="F105" s="5">
        <v>0.38333299999999998</v>
      </c>
      <c r="G105" s="5">
        <f>3*0.05</f>
        <v>0.15000000000000002</v>
      </c>
      <c r="I105" s="234">
        <f>+G105/F105</f>
        <v>0.39130468809103319</v>
      </c>
      <c r="J105" s="235">
        <f>+I105/4</f>
        <v>9.7826172022758298E-2</v>
      </c>
    </row>
    <row r="110" spans="2:25" x14ac:dyDescent="0.2">
      <c r="L110" s="85"/>
    </row>
  </sheetData>
  <phoneticPr fontId="7" type="noConversion"/>
  <pageMargins left="0.75" right="0.75" top="1" bottom="1" header="0.5" footer="0.5"/>
  <pageSetup paperSize="9" orientation="portrait" horizontalDpi="0" verticalDpi="0" r:id="rId1"/>
  <headerFooter alignWithMargins="0"/>
  <ignoredErrors>
    <ignoredError sqref="Q56" formula="1"/>
  </ignoredErrors>
  <legacyDrawing r:id="rId2"/>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7"/>
  <dimension ref="A1:Y108"/>
  <sheetViews>
    <sheetView workbookViewId="0">
      <selection activeCell="D37" sqref="D37"/>
    </sheetView>
  </sheetViews>
  <sheetFormatPr defaultRowHeight="12.75" x14ac:dyDescent="0.2"/>
  <cols>
    <col min="1" max="1" width="4.5703125" style="6" customWidth="1"/>
    <col min="2" max="2" width="21.42578125" customWidth="1"/>
    <col min="3" max="3" width="8" customWidth="1"/>
    <col min="5" max="5" width="10.85546875" customWidth="1"/>
    <col min="6" max="16" width="9.7109375" customWidth="1"/>
    <col min="17" max="22" width="11.28515625" customWidth="1"/>
    <col min="23" max="23" width="8.28515625" customWidth="1"/>
    <col min="24" max="24" width="8" style="10" customWidth="1"/>
    <col min="25" max="25" width="9.140625" style="5" customWidth="1"/>
  </cols>
  <sheetData>
    <row r="1" spans="1:25" ht="33" x14ac:dyDescent="0.6">
      <c r="B1" s="113" t="s">
        <v>126</v>
      </c>
      <c r="G1" s="98"/>
      <c r="H1" s="65"/>
      <c r="I1" s="64"/>
      <c r="J1" s="65" t="s">
        <v>108</v>
      </c>
      <c r="K1" s="64"/>
      <c r="L1" s="64"/>
    </row>
    <row r="2" spans="1:25" s="98" customFormat="1" ht="10.5" customHeight="1" x14ac:dyDescent="0.5">
      <c r="A2" s="31"/>
      <c r="B2" s="97"/>
      <c r="H2" s="99"/>
      <c r="X2" s="100"/>
      <c r="Y2" s="101"/>
    </row>
    <row r="3" spans="1:25" ht="20.25" x14ac:dyDescent="0.3">
      <c r="B3" s="114" t="s">
        <v>110</v>
      </c>
      <c r="C3" s="95"/>
      <c r="D3" s="185"/>
      <c r="E3" s="104"/>
      <c r="F3" s="96"/>
    </row>
    <row r="4" spans="1:25" s="19" customFormat="1" ht="13.5" thickBot="1" x14ac:dyDescent="0.25">
      <c r="A4" s="17"/>
      <c r="C4" s="144"/>
      <c r="D4" s="175" t="s">
        <v>20</v>
      </c>
      <c r="E4" s="43" t="s">
        <v>1</v>
      </c>
      <c r="F4" s="20" t="s">
        <v>2</v>
      </c>
      <c r="G4" s="20" t="s">
        <v>3</v>
      </c>
      <c r="H4" s="20" t="s">
        <v>4</v>
      </c>
      <c r="I4" s="21" t="s">
        <v>5</v>
      </c>
      <c r="J4" s="21" t="s">
        <v>6</v>
      </c>
      <c r="K4" s="21" t="s">
        <v>7</v>
      </c>
      <c r="L4" s="21" t="s">
        <v>8</v>
      </c>
      <c r="M4" s="22" t="s">
        <v>9</v>
      </c>
      <c r="N4" s="22" t="s">
        <v>10</v>
      </c>
      <c r="O4" s="22" t="s">
        <v>11</v>
      </c>
      <c r="P4" s="22" t="s">
        <v>12</v>
      </c>
      <c r="Q4" s="19">
        <v>2015</v>
      </c>
      <c r="R4" s="19">
        <v>2016</v>
      </c>
      <c r="S4" s="19">
        <v>2017</v>
      </c>
      <c r="T4" s="19">
        <v>2018</v>
      </c>
      <c r="U4" s="19">
        <v>2019</v>
      </c>
      <c r="V4" s="19">
        <v>2020</v>
      </c>
      <c r="W4" s="17"/>
      <c r="X4" s="24"/>
      <c r="Y4" s="23"/>
    </row>
    <row r="5" spans="1:25" s="129" customFormat="1" ht="17.25" thickBot="1" x14ac:dyDescent="0.3">
      <c r="B5" s="136" t="s">
        <v>105</v>
      </c>
      <c r="C5" s="137"/>
      <c r="D5" s="186"/>
      <c r="E5" s="183"/>
      <c r="F5" s="138"/>
      <c r="G5" s="138">
        <v>2.2499999999999999E-2</v>
      </c>
      <c r="H5" s="139">
        <f t="shared" ref="H5:O6" si="0">+G5</f>
        <v>2.2499999999999999E-2</v>
      </c>
      <c r="I5" s="138">
        <f t="shared" si="0"/>
        <v>2.2499999999999999E-2</v>
      </c>
      <c r="J5" s="138">
        <f t="shared" si="0"/>
        <v>2.2499999999999999E-2</v>
      </c>
      <c r="K5" s="138">
        <f t="shared" si="0"/>
        <v>2.2499999999999999E-2</v>
      </c>
      <c r="L5" s="139">
        <f t="shared" si="0"/>
        <v>2.2499999999999999E-2</v>
      </c>
      <c r="M5" s="181">
        <f t="shared" si="0"/>
        <v>2.2499999999999999E-2</v>
      </c>
      <c r="N5" s="138">
        <f t="shared" si="0"/>
        <v>2.2499999999999999E-2</v>
      </c>
      <c r="O5" s="138">
        <f t="shared" si="0"/>
        <v>2.2499999999999999E-2</v>
      </c>
      <c r="P5" s="139">
        <f>+O5</f>
        <v>2.2499999999999999E-2</v>
      </c>
      <c r="Q5" s="179">
        <v>0.15</v>
      </c>
      <c r="R5" s="179">
        <v>0.15</v>
      </c>
      <c r="S5" s="139">
        <v>0.15</v>
      </c>
      <c r="T5" s="139">
        <v>0.15</v>
      </c>
      <c r="U5" s="139">
        <v>0.15</v>
      </c>
      <c r="V5" s="139">
        <v>0.15</v>
      </c>
      <c r="X5" s="134"/>
      <c r="Y5" s="135"/>
    </row>
    <row r="6" spans="1:25" s="129" customFormat="1" ht="17.25" thickBot="1" x14ac:dyDescent="0.3">
      <c r="B6" s="130" t="s">
        <v>106</v>
      </c>
      <c r="C6" s="131"/>
      <c r="D6" s="131"/>
      <c r="E6" s="180"/>
      <c r="F6" s="197"/>
      <c r="G6" s="132">
        <v>-4.3999999999999997E-2</v>
      </c>
      <c r="H6" s="133">
        <f t="shared" si="0"/>
        <v>-4.3999999999999997E-2</v>
      </c>
      <c r="I6" s="182">
        <f t="shared" si="0"/>
        <v>-4.3999999999999997E-2</v>
      </c>
      <c r="J6" s="132">
        <f t="shared" si="0"/>
        <v>-4.3999999999999997E-2</v>
      </c>
      <c r="K6" s="132">
        <f t="shared" si="0"/>
        <v>-4.3999999999999997E-2</v>
      </c>
      <c r="L6" s="133">
        <f t="shared" si="0"/>
        <v>-4.3999999999999997E-2</v>
      </c>
      <c r="M6" s="182">
        <f t="shared" si="0"/>
        <v>-4.3999999999999997E-2</v>
      </c>
      <c r="N6" s="132">
        <f t="shared" si="0"/>
        <v>-4.3999999999999997E-2</v>
      </c>
      <c r="O6" s="132">
        <f t="shared" si="0"/>
        <v>-4.3999999999999997E-2</v>
      </c>
      <c r="P6" s="133">
        <f>+O6</f>
        <v>-4.3999999999999997E-2</v>
      </c>
      <c r="Q6" s="180">
        <v>-0.15</v>
      </c>
      <c r="R6" s="180">
        <v>-0.15</v>
      </c>
      <c r="S6" s="133">
        <v>-0.1</v>
      </c>
      <c r="T6" s="133">
        <v>-0.05</v>
      </c>
      <c r="U6" s="133">
        <v>0</v>
      </c>
      <c r="V6" s="133">
        <v>0</v>
      </c>
      <c r="X6" s="134"/>
      <c r="Y6" s="135"/>
    </row>
    <row r="7" spans="1:25" ht="20.25" x14ac:dyDescent="0.3">
      <c r="B7" s="94"/>
      <c r="C7" s="95"/>
      <c r="D7" s="95"/>
      <c r="E7" s="104"/>
      <c r="F7" s="198"/>
    </row>
    <row r="8" spans="1:25" s="16" customFormat="1" ht="15.75" x14ac:dyDescent="0.25">
      <c r="A8" s="17"/>
      <c r="D8" s="155"/>
      <c r="E8" s="189"/>
      <c r="F8" s="199" t="s">
        <v>56</v>
      </c>
      <c r="X8" s="24"/>
      <c r="Y8" s="23"/>
    </row>
    <row r="9" spans="1:25" s="19" customFormat="1" x14ac:dyDescent="0.2">
      <c r="A9" s="17"/>
      <c r="C9" s="144" t="s">
        <v>36</v>
      </c>
      <c r="D9" s="175" t="s">
        <v>20</v>
      </c>
      <c r="E9" s="196" t="s">
        <v>1</v>
      </c>
      <c r="F9" s="200" t="s">
        <v>2</v>
      </c>
      <c r="G9" s="20" t="s">
        <v>3</v>
      </c>
      <c r="H9" s="20" t="s">
        <v>4</v>
      </c>
      <c r="I9" s="21" t="s">
        <v>5</v>
      </c>
      <c r="J9" s="21" t="s">
        <v>6</v>
      </c>
      <c r="K9" s="21" t="s">
        <v>7</v>
      </c>
      <c r="L9" s="21" t="s">
        <v>8</v>
      </c>
      <c r="M9" s="22" t="s">
        <v>9</v>
      </c>
      <c r="N9" s="22" t="s">
        <v>10</v>
      </c>
      <c r="O9" s="22" t="s">
        <v>11</v>
      </c>
      <c r="P9" s="22" t="s">
        <v>12</v>
      </c>
      <c r="Q9" s="19">
        <v>2015</v>
      </c>
      <c r="R9" s="19">
        <v>2016</v>
      </c>
      <c r="S9" s="19">
        <v>2017</v>
      </c>
      <c r="T9" s="19">
        <v>2018</v>
      </c>
      <c r="U9" s="19">
        <v>2019</v>
      </c>
      <c r="V9" s="19">
        <v>2020</v>
      </c>
      <c r="W9" s="17" t="s">
        <v>46</v>
      </c>
      <c r="X9" s="24"/>
      <c r="Y9" s="23"/>
    </row>
    <row r="10" spans="1:25" s="2" customFormat="1" x14ac:dyDescent="0.2">
      <c r="A10" s="31"/>
      <c r="B10" s="53" t="s">
        <v>57</v>
      </c>
      <c r="C10" s="145"/>
      <c r="D10" s="149"/>
      <c r="E10" s="149"/>
      <c r="F10" s="201"/>
      <c r="X10" s="9"/>
      <c r="Y10" s="11"/>
    </row>
    <row r="11" spans="1:25" s="2" customFormat="1" x14ac:dyDescent="0.2">
      <c r="A11" s="31"/>
      <c r="B11" s="103"/>
      <c r="C11" s="145"/>
      <c r="D11" s="149"/>
      <c r="E11" s="149"/>
      <c r="F11" s="201"/>
      <c r="X11" s="9"/>
      <c r="Y11" s="11"/>
    </row>
    <row r="12" spans="1:25" s="2" customFormat="1" x14ac:dyDescent="0.2">
      <c r="A12" s="31"/>
      <c r="B12" s="72" t="s">
        <v>73</v>
      </c>
      <c r="C12" s="145"/>
      <c r="D12" s="157">
        <v>90</v>
      </c>
      <c r="E12" s="157">
        <v>85.9</v>
      </c>
      <c r="F12" s="202">
        <v>89.7</v>
      </c>
      <c r="G12" s="12">
        <f t="shared" ref="G12:P12" si="1">+F12*(1+G13)</f>
        <v>91.718249999999998</v>
      </c>
      <c r="H12" s="12">
        <f t="shared" si="1"/>
        <v>93.781910624999995</v>
      </c>
      <c r="I12" s="12">
        <f t="shared" si="1"/>
        <v>95.892003614062489</v>
      </c>
      <c r="J12" s="12">
        <f t="shared" si="1"/>
        <v>98.049573695378896</v>
      </c>
      <c r="K12" s="12">
        <f t="shared" si="1"/>
        <v>100.25568910352492</v>
      </c>
      <c r="L12" s="12">
        <f t="shared" si="1"/>
        <v>102.51144210835422</v>
      </c>
      <c r="M12" s="12">
        <f t="shared" si="1"/>
        <v>104.81794955579218</v>
      </c>
      <c r="N12" s="12">
        <f t="shared" si="1"/>
        <v>107.1763534207975</v>
      </c>
      <c r="O12" s="12">
        <f t="shared" si="1"/>
        <v>109.58782137276543</v>
      </c>
      <c r="P12" s="12">
        <f t="shared" si="1"/>
        <v>112.05354735365265</v>
      </c>
      <c r="Q12" s="12">
        <f>+P12*4</f>
        <v>448.21418941461059</v>
      </c>
      <c r="R12" s="12">
        <f>+Q12*(1+R13)</f>
        <v>515.4463178268021</v>
      </c>
      <c r="S12" s="12">
        <f>+R12*(1+S13)</f>
        <v>592.7632655008224</v>
      </c>
      <c r="T12" s="12">
        <f>+S12*(1+T13)</f>
        <v>681.67775532594567</v>
      </c>
      <c r="U12" s="12">
        <f>+T12*(1+U13)</f>
        <v>783.92941862483747</v>
      </c>
      <c r="V12" s="12">
        <f>+U12*(1+V13)</f>
        <v>901.51883141856297</v>
      </c>
      <c r="X12" s="9"/>
      <c r="Y12" s="11"/>
    </row>
    <row r="13" spans="1:25" s="2" customFormat="1" x14ac:dyDescent="0.2">
      <c r="A13" s="31"/>
      <c r="B13" s="73" t="s">
        <v>76</v>
      </c>
      <c r="C13" s="146"/>
      <c r="D13" s="146"/>
      <c r="E13" s="190"/>
      <c r="F13" s="203"/>
      <c r="G13" s="77">
        <f t="shared" ref="G13:R13" si="2">+G5</f>
        <v>2.2499999999999999E-2</v>
      </c>
      <c r="H13" s="77">
        <f t="shared" si="2"/>
        <v>2.2499999999999999E-2</v>
      </c>
      <c r="I13" s="77">
        <f t="shared" si="2"/>
        <v>2.2499999999999999E-2</v>
      </c>
      <c r="J13" s="77">
        <f t="shared" si="2"/>
        <v>2.2499999999999999E-2</v>
      </c>
      <c r="K13" s="77">
        <f t="shared" si="2"/>
        <v>2.2499999999999999E-2</v>
      </c>
      <c r="L13" s="77">
        <f t="shared" si="2"/>
        <v>2.2499999999999999E-2</v>
      </c>
      <c r="M13" s="77">
        <f t="shared" si="2"/>
        <v>2.2499999999999999E-2</v>
      </c>
      <c r="N13" s="77">
        <f t="shared" si="2"/>
        <v>2.2499999999999999E-2</v>
      </c>
      <c r="O13" s="77">
        <f t="shared" si="2"/>
        <v>2.2499999999999999E-2</v>
      </c>
      <c r="P13" s="77">
        <f t="shared" si="2"/>
        <v>2.2499999999999999E-2</v>
      </c>
      <c r="Q13" s="77">
        <f t="shared" si="2"/>
        <v>0.15</v>
      </c>
      <c r="R13" s="77">
        <f t="shared" si="2"/>
        <v>0.15</v>
      </c>
      <c r="S13" s="77">
        <f>+S5</f>
        <v>0.15</v>
      </c>
      <c r="T13" s="77">
        <f>+T5</f>
        <v>0.15</v>
      </c>
      <c r="U13" s="77">
        <f>+U5</f>
        <v>0.15</v>
      </c>
      <c r="V13" s="77">
        <f>+V5</f>
        <v>0.15</v>
      </c>
      <c r="X13" s="9"/>
      <c r="Y13" s="11"/>
    </row>
    <row r="14" spans="1:25" s="111" customFormat="1" x14ac:dyDescent="0.2">
      <c r="A14" s="109"/>
      <c r="B14" s="110" t="s">
        <v>122</v>
      </c>
      <c r="C14" s="107"/>
      <c r="D14" s="107">
        <v>0.39400000000000002</v>
      </c>
      <c r="E14" s="107">
        <v>0.4</v>
      </c>
      <c r="F14" s="204">
        <f t="shared" ref="F14:R14" si="3">+E14</f>
        <v>0.4</v>
      </c>
      <c r="G14" s="111">
        <f t="shared" si="3"/>
        <v>0.4</v>
      </c>
      <c r="H14" s="111">
        <f t="shared" si="3"/>
        <v>0.4</v>
      </c>
      <c r="I14" s="111">
        <f t="shared" si="3"/>
        <v>0.4</v>
      </c>
      <c r="J14" s="111">
        <f t="shared" si="3"/>
        <v>0.4</v>
      </c>
      <c r="K14" s="111">
        <f t="shared" si="3"/>
        <v>0.4</v>
      </c>
      <c r="L14" s="111">
        <f t="shared" si="3"/>
        <v>0.4</v>
      </c>
      <c r="M14" s="111">
        <f t="shared" si="3"/>
        <v>0.4</v>
      </c>
      <c r="N14" s="111">
        <f t="shared" si="3"/>
        <v>0.4</v>
      </c>
      <c r="O14" s="111">
        <f t="shared" si="3"/>
        <v>0.4</v>
      </c>
      <c r="P14" s="111">
        <f t="shared" si="3"/>
        <v>0.4</v>
      </c>
      <c r="Q14" s="111">
        <f t="shared" si="3"/>
        <v>0.4</v>
      </c>
      <c r="R14" s="111">
        <f t="shared" si="3"/>
        <v>0.4</v>
      </c>
      <c r="S14" s="111">
        <f>+R14</f>
        <v>0.4</v>
      </c>
      <c r="T14" s="111">
        <f>+S14</f>
        <v>0.4</v>
      </c>
      <c r="U14" s="111">
        <f>+T14</f>
        <v>0.4</v>
      </c>
      <c r="V14" s="111">
        <f>+U14</f>
        <v>0.4</v>
      </c>
    </row>
    <row r="15" spans="1:25" s="2" customFormat="1" x14ac:dyDescent="0.2">
      <c r="A15" s="31"/>
      <c r="B15" s="26" t="s">
        <v>75</v>
      </c>
      <c r="C15" s="145"/>
      <c r="D15" s="80">
        <f>+D12*D14</f>
        <v>35.46</v>
      </c>
      <c r="E15" s="80">
        <f>+E12*E14</f>
        <v>34.360000000000007</v>
      </c>
      <c r="F15" s="205">
        <f t="shared" ref="F15:R15" si="4">+F12*F14</f>
        <v>35.880000000000003</v>
      </c>
      <c r="G15" s="80">
        <f t="shared" si="4"/>
        <v>36.6873</v>
      </c>
      <c r="H15" s="80">
        <f t="shared" si="4"/>
        <v>37.512764249999996</v>
      </c>
      <c r="I15" s="80">
        <f t="shared" si="4"/>
        <v>38.356801445624995</v>
      </c>
      <c r="J15" s="80">
        <f t="shared" si="4"/>
        <v>39.21982947815156</v>
      </c>
      <c r="K15" s="80">
        <f t="shared" si="4"/>
        <v>40.102275641409967</v>
      </c>
      <c r="L15" s="80">
        <f t="shared" si="4"/>
        <v>41.004576843341688</v>
      </c>
      <c r="M15" s="80">
        <f t="shared" si="4"/>
        <v>41.927179822316873</v>
      </c>
      <c r="N15" s="80">
        <f t="shared" si="4"/>
        <v>42.870541368319003</v>
      </c>
      <c r="O15" s="80">
        <f t="shared" si="4"/>
        <v>43.835128549106173</v>
      </c>
      <c r="P15" s="80">
        <f t="shared" si="4"/>
        <v>44.821418941461062</v>
      </c>
      <c r="Q15" s="80">
        <f t="shared" si="4"/>
        <v>179.28567576584425</v>
      </c>
      <c r="R15" s="80">
        <f t="shared" si="4"/>
        <v>206.17852713072085</v>
      </c>
      <c r="S15" s="80">
        <f>+S12*S14</f>
        <v>237.10530620032898</v>
      </c>
      <c r="T15" s="80">
        <f>+T12*T14</f>
        <v>272.6711021303783</v>
      </c>
      <c r="U15" s="80">
        <f>+U12*U14</f>
        <v>313.57176744993501</v>
      </c>
      <c r="V15" s="80">
        <f>+V12*V14</f>
        <v>360.60753256742521</v>
      </c>
      <c r="X15" s="9"/>
      <c r="Y15" s="11"/>
    </row>
    <row r="16" spans="1:25" s="2" customFormat="1" x14ac:dyDescent="0.2">
      <c r="A16" s="31"/>
      <c r="B16" s="72"/>
      <c r="C16" s="145"/>
      <c r="D16" s="157"/>
      <c r="E16" s="157"/>
      <c r="F16" s="202"/>
      <c r="G16" s="12"/>
      <c r="H16" s="12"/>
      <c r="I16" s="12"/>
      <c r="J16" s="12"/>
      <c r="K16" s="12"/>
      <c r="L16" s="12"/>
      <c r="M16" s="12"/>
      <c r="N16" s="12"/>
      <c r="O16" s="12"/>
      <c r="P16" s="12"/>
      <c r="Q16" s="12"/>
      <c r="R16" s="12"/>
      <c r="S16" s="12"/>
      <c r="T16" s="12"/>
      <c r="U16" s="12"/>
      <c r="V16" s="12"/>
      <c r="X16" s="9"/>
      <c r="Y16" s="11"/>
    </row>
    <row r="17" spans="1:25" s="2" customFormat="1" x14ac:dyDescent="0.2">
      <c r="A17" s="31"/>
      <c r="B17" s="72" t="s">
        <v>74</v>
      </c>
      <c r="C17" s="145"/>
      <c r="D17" s="157">
        <v>223.3</v>
      </c>
      <c r="E17" s="157">
        <f>+E22-E12</f>
        <v>203.20000000000002</v>
      </c>
      <c r="F17" s="202">
        <f>+F22-F12</f>
        <v>196.8</v>
      </c>
      <c r="G17" s="12">
        <f t="shared" ref="G17:R17" si="5">+F17*(1+G18)</f>
        <v>188.14080000000001</v>
      </c>
      <c r="H17" s="12">
        <f t="shared" si="5"/>
        <v>179.86260480000001</v>
      </c>
      <c r="I17" s="12">
        <f t="shared" si="5"/>
        <v>171.9486501888</v>
      </c>
      <c r="J17" s="12">
        <f t="shared" si="5"/>
        <v>164.38290958049279</v>
      </c>
      <c r="K17" s="12">
        <f t="shared" si="5"/>
        <v>157.15006155895111</v>
      </c>
      <c r="L17" s="12">
        <f t="shared" si="5"/>
        <v>150.23545885035725</v>
      </c>
      <c r="M17" s="12">
        <f t="shared" si="5"/>
        <v>143.62509866094152</v>
      </c>
      <c r="N17" s="12">
        <f t="shared" si="5"/>
        <v>137.30559431986009</v>
      </c>
      <c r="O17" s="12">
        <f t="shared" si="5"/>
        <v>131.26414816978624</v>
      </c>
      <c r="P17" s="12">
        <f t="shared" si="5"/>
        <v>125.48852565031564</v>
      </c>
      <c r="Q17" s="12">
        <f>+P17*4</f>
        <v>501.95410260126255</v>
      </c>
      <c r="R17" s="12">
        <f t="shared" si="5"/>
        <v>426.66098721107318</v>
      </c>
      <c r="S17" s="12">
        <f>+R17*(1+S18)</f>
        <v>383.99488848996589</v>
      </c>
      <c r="T17" s="12">
        <f>+S17*(1+T18)</f>
        <v>364.79514406546758</v>
      </c>
      <c r="U17" s="12">
        <f>+T17*(1+U18)</f>
        <v>364.79514406546758</v>
      </c>
      <c r="V17" s="12">
        <f>+U17*(1+V18)</f>
        <v>364.79514406546758</v>
      </c>
      <c r="X17" s="9"/>
      <c r="Y17" s="11"/>
    </row>
    <row r="18" spans="1:25" s="2" customFormat="1" x14ac:dyDescent="0.2">
      <c r="A18" s="31"/>
      <c r="B18" s="73" t="s">
        <v>79</v>
      </c>
      <c r="C18" s="145"/>
      <c r="D18" s="157"/>
      <c r="E18" s="191"/>
      <c r="F18" s="206"/>
      <c r="G18" s="78">
        <f t="shared" ref="G18:R18" si="6">+G6</f>
        <v>-4.3999999999999997E-2</v>
      </c>
      <c r="H18" s="78">
        <f t="shared" si="6"/>
        <v>-4.3999999999999997E-2</v>
      </c>
      <c r="I18" s="78">
        <f t="shared" si="6"/>
        <v>-4.3999999999999997E-2</v>
      </c>
      <c r="J18" s="78">
        <f t="shared" si="6"/>
        <v>-4.3999999999999997E-2</v>
      </c>
      <c r="K18" s="78">
        <f t="shared" si="6"/>
        <v>-4.3999999999999997E-2</v>
      </c>
      <c r="L18" s="78">
        <f t="shared" si="6"/>
        <v>-4.3999999999999997E-2</v>
      </c>
      <c r="M18" s="78">
        <f t="shared" si="6"/>
        <v>-4.3999999999999997E-2</v>
      </c>
      <c r="N18" s="78">
        <f t="shared" si="6"/>
        <v>-4.3999999999999997E-2</v>
      </c>
      <c r="O18" s="78">
        <f t="shared" si="6"/>
        <v>-4.3999999999999997E-2</v>
      </c>
      <c r="P18" s="78">
        <f t="shared" si="6"/>
        <v>-4.3999999999999997E-2</v>
      </c>
      <c r="Q18" s="78">
        <f t="shared" si="6"/>
        <v>-0.15</v>
      </c>
      <c r="R18" s="78">
        <f t="shared" si="6"/>
        <v>-0.15</v>
      </c>
      <c r="S18" s="78">
        <f>+S6</f>
        <v>-0.1</v>
      </c>
      <c r="T18" s="78">
        <f>+T6</f>
        <v>-0.05</v>
      </c>
      <c r="U18" s="78">
        <f>+U6</f>
        <v>0</v>
      </c>
      <c r="V18" s="78">
        <f>+V6</f>
        <v>0</v>
      </c>
      <c r="X18" s="9"/>
      <c r="Y18" s="11"/>
    </row>
    <row r="19" spans="1:25" s="111" customFormat="1" ht="15" x14ac:dyDescent="0.25">
      <c r="A19" s="109"/>
      <c r="B19" s="110" t="s">
        <v>122</v>
      </c>
      <c r="C19" s="147"/>
      <c r="D19" s="107">
        <v>0.5</v>
      </c>
      <c r="E19" s="107">
        <v>0.55000000000000004</v>
      </c>
      <c r="F19" s="204">
        <v>0.56000000000000005</v>
      </c>
      <c r="G19" s="107">
        <v>0.54500000000000004</v>
      </c>
      <c r="H19" s="107">
        <v>0.54</v>
      </c>
      <c r="I19" s="107">
        <v>0.54</v>
      </c>
      <c r="J19" s="107">
        <v>0.53500000000000003</v>
      </c>
      <c r="K19" s="107">
        <v>0.53</v>
      </c>
      <c r="L19" s="107">
        <v>0.53</v>
      </c>
      <c r="M19" s="107">
        <v>0.53</v>
      </c>
      <c r="N19" s="107">
        <v>0.53</v>
      </c>
      <c r="O19" s="107">
        <v>0.53</v>
      </c>
      <c r="P19" s="107">
        <v>0.53</v>
      </c>
      <c r="Q19" s="107">
        <v>0.53</v>
      </c>
      <c r="R19" s="107">
        <v>0.53</v>
      </c>
      <c r="S19" s="107">
        <v>0.53</v>
      </c>
      <c r="T19" s="107">
        <v>0.53</v>
      </c>
      <c r="U19" s="107">
        <v>0.53</v>
      </c>
      <c r="V19" s="107">
        <v>0.53</v>
      </c>
      <c r="W19" s="128"/>
    </row>
    <row r="20" spans="1:25" s="2" customFormat="1" x14ac:dyDescent="0.2">
      <c r="A20" s="31"/>
      <c r="B20" s="26" t="s">
        <v>77</v>
      </c>
      <c r="C20" s="145"/>
      <c r="D20" s="80">
        <f>+D17*D19</f>
        <v>111.65</v>
      </c>
      <c r="E20" s="80">
        <f>+E23-E15</f>
        <v>111.63999999999999</v>
      </c>
      <c r="F20" s="205">
        <f>+F23-F15</f>
        <v>109.32</v>
      </c>
      <c r="G20" s="80">
        <f t="shared" ref="G20:R20" si="7">+G17*G19</f>
        <v>102.53673600000002</v>
      </c>
      <c r="H20" s="80">
        <f t="shared" si="7"/>
        <v>97.125806592000018</v>
      </c>
      <c r="I20" s="80">
        <f t="shared" si="7"/>
        <v>92.852271101952013</v>
      </c>
      <c r="J20" s="80">
        <f t="shared" si="7"/>
        <v>87.944856625563645</v>
      </c>
      <c r="K20" s="80">
        <f t="shared" si="7"/>
        <v>83.289532626244096</v>
      </c>
      <c r="L20" s="80">
        <f t="shared" si="7"/>
        <v>79.624793190689346</v>
      </c>
      <c r="M20" s="80">
        <f t="shared" si="7"/>
        <v>76.121302290299013</v>
      </c>
      <c r="N20" s="80">
        <f t="shared" si="7"/>
        <v>72.771964989525856</v>
      </c>
      <c r="O20" s="80">
        <f t="shared" si="7"/>
        <v>69.569998529986705</v>
      </c>
      <c r="P20" s="80">
        <f t="shared" si="7"/>
        <v>66.508918594667293</v>
      </c>
      <c r="Q20" s="80">
        <f t="shared" si="7"/>
        <v>266.03567437866917</v>
      </c>
      <c r="R20" s="80">
        <f t="shared" si="7"/>
        <v>226.13032322186879</v>
      </c>
      <c r="S20" s="80">
        <f>+S17*S19</f>
        <v>203.51729089968194</v>
      </c>
      <c r="T20" s="80">
        <f>+T17*T19</f>
        <v>193.34142635469783</v>
      </c>
      <c r="U20" s="80">
        <f>+U17*U19</f>
        <v>193.34142635469783</v>
      </c>
      <c r="V20" s="80">
        <f>+V17*V19</f>
        <v>193.34142635469783</v>
      </c>
      <c r="X20" s="9"/>
      <c r="Y20" s="11"/>
    </row>
    <row r="21" spans="1:25" s="2" customFormat="1" x14ac:dyDescent="0.2">
      <c r="A21" s="31"/>
      <c r="B21" s="73"/>
      <c r="C21" s="145"/>
      <c r="D21" s="38"/>
      <c r="E21" s="38"/>
      <c r="F21" s="207"/>
      <c r="G21" s="38"/>
      <c r="H21" s="38"/>
      <c r="I21" s="38"/>
      <c r="J21" s="38"/>
      <c r="K21" s="38"/>
      <c r="L21" s="38"/>
      <c r="M21" s="38"/>
      <c r="N21" s="38"/>
      <c r="O21" s="38"/>
      <c r="P21" s="38"/>
      <c r="Q21" s="38"/>
      <c r="R21" s="38"/>
      <c r="S21" s="38"/>
      <c r="T21" s="38"/>
      <c r="U21" s="38"/>
      <c r="V21" s="38"/>
      <c r="X21" s="9"/>
      <c r="Y21" s="11"/>
    </row>
    <row r="22" spans="1:25" s="2" customFormat="1" x14ac:dyDescent="0.2">
      <c r="A22" s="31"/>
      <c r="B22" s="73" t="s">
        <v>80</v>
      </c>
      <c r="C22" s="145"/>
      <c r="D22" s="157">
        <f>+D12+D17</f>
        <v>313.3</v>
      </c>
      <c r="E22" s="157">
        <v>289.10000000000002</v>
      </c>
      <c r="F22" s="202">
        <v>286.5</v>
      </c>
      <c r="G22" s="12">
        <f t="shared" ref="G22:R22" si="8">+G12+G17</f>
        <v>279.85905000000002</v>
      </c>
      <c r="H22" s="12">
        <f t="shared" si="8"/>
        <v>273.64451542500001</v>
      </c>
      <c r="I22" s="12">
        <f t="shared" si="8"/>
        <v>267.84065380286251</v>
      </c>
      <c r="J22" s="12">
        <f t="shared" si="8"/>
        <v>262.43248327587168</v>
      </c>
      <c r="K22" s="12">
        <f t="shared" si="8"/>
        <v>257.40575066247601</v>
      </c>
      <c r="L22" s="12">
        <f t="shared" si="8"/>
        <v>252.74690095871148</v>
      </c>
      <c r="M22" s="12">
        <f t="shared" si="8"/>
        <v>248.4430482167337</v>
      </c>
      <c r="N22" s="12">
        <f t="shared" si="8"/>
        <v>244.48194774065757</v>
      </c>
      <c r="O22" s="12">
        <f t="shared" si="8"/>
        <v>240.85196954255167</v>
      </c>
      <c r="P22" s="12">
        <f t="shared" si="8"/>
        <v>237.54207300396828</v>
      </c>
      <c r="Q22" s="12">
        <f t="shared" si="8"/>
        <v>950.16829201587313</v>
      </c>
      <c r="R22" s="12">
        <f t="shared" si="8"/>
        <v>942.10730503787522</v>
      </c>
      <c r="S22" s="12">
        <f>+S12+S17</f>
        <v>976.75815399078829</v>
      </c>
      <c r="T22" s="12">
        <f>+T12+T17</f>
        <v>1046.4728993914132</v>
      </c>
      <c r="U22" s="12">
        <f>+U12+U17</f>
        <v>1148.724562690305</v>
      </c>
      <c r="V22" s="12">
        <f>+V12+V17</f>
        <v>1266.3139754840306</v>
      </c>
      <c r="X22" s="9"/>
      <c r="Y22" s="11"/>
    </row>
    <row r="23" spans="1:25" s="26" customFormat="1" ht="13.5" thickBot="1" x14ac:dyDescent="0.25">
      <c r="A23" s="32" t="s">
        <v>15</v>
      </c>
      <c r="B23" s="32" t="s">
        <v>112</v>
      </c>
      <c r="C23" s="148"/>
      <c r="D23" s="81">
        <f>+D15+D20</f>
        <v>147.11000000000001</v>
      </c>
      <c r="E23" s="81">
        <v>146</v>
      </c>
      <c r="F23" s="208">
        <v>145.19999999999999</v>
      </c>
      <c r="G23" s="81">
        <f t="shared" ref="G23:R23" si="9">+G15+G20</f>
        <v>139.22403600000001</v>
      </c>
      <c r="H23" s="81">
        <f t="shared" si="9"/>
        <v>134.63857084200001</v>
      </c>
      <c r="I23" s="81">
        <f t="shared" si="9"/>
        <v>131.20907254757702</v>
      </c>
      <c r="J23" s="81">
        <f t="shared" si="9"/>
        <v>127.16468610371521</v>
      </c>
      <c r="K23" s="81">
        <f t="shared" si="9"/>
        <v>123.39180826765406</v>
      </c>
      <c r="L23" s="81">
        <f t="shared" si="9"/>
        <v>120.62937003403104</v>
      </c>
      <c r="M23" s="81">
        <f t="shared" si="9"/>
        <v>118.04848211261589</v>
      </c>
      <c r="N23" s="81">
        <f t="shared" si="9"/>
        <v>115.64250635784487</v>
      </c>
      <c r="O23" s="81">
        <f t="shared" si="9"/>
        <v>113.40512707909288</v>
      </c>
      <c r="P23" s="81">
        <f t="shared" si="9"/>
        <v>111.33033753612835</v>
      </c>
      <c r="Q23" s="81">
        <f t="shared" si="9"/>
        <v>445.32135014451342</v>
      </c>
      <c r="R23" s="81">
        <f t="shared" si="9"/>
        <v>432.30885035258962</v>
      </c>
      <c r="S23" s="81">
        <f>+S15+S20</f>
        <v>440.62259710001092</v>
      </c>
      <c r="T23" s="81">
        <f>+T15+T20</f>
        <v>466.01252848507613</v>
      </c>
      <c r="U23" s="81">
        <f>+U15+U20</f>
        <v>506.91319380463284</v>
      </c>
      <c r="V23" s="81">
        <f>+V15+V20</f>
        <v>553.94895892212298</v>
      </c>
      <c r="X23" s="28"/>
      <c r="Y23" s="29"/>
    </row>
    <row r="24" spans="1:25" s="26" customFormat="1" ht="13.5" thickTop="1" x14ac:dyDescent="0.2">
      <c r="A24" s="32"/>
      <c r="B24" s="26" t="s">
        <v>81</v>
      </c>
      <c r="C24" s="148" t="s">
        <v>125</v>
      </c>
      <c r="D24" s="83">
        <f>+D23/D22</f>
        <v>0.46954995212256628</v>
      </c>
      <c r="E24" s="83">
        <f>+E23/E22</f>
        <v>0.50501556554825311</v>
      </c>
      <c r="F24" s="209">
        <f>+F23/F22</f>
        <v>0.50680628272251305</v>
      </c>
      <c r="G24" s="83">
        <f t="shared" ref="G24:R24" si="10">+G23/G22</f>
        <v>0.49747912743933059</v>
      </c>
      <c r="H24" s="83">
        <f t="shared" si="10"/>
        <v>0.49201998670754099</v>
      </c>
      <c r="I24" s="83">
        <f t="shared" si="10"/>
        <v>0.48987736060467585</v>
      </c>
      <c r="J24" s="83">
        <f t="shared" si="10"/>
        <v>0.48456153185136924</v>
      </c>
      <c r="K24" s="83">
        <f t="shared" si="10"/>
        <v>0.47936694479468683</v>
      </c>
      <c r="L24" s="83">
        <f t="shared" si="10"/>
        <v>0.47727338921452078</v>
      </c>
      <c r="M24" s="83">
        <f t="shared" si="10"/>
        <v>0.47515309025525321</v>
      </c>
      <c r="N24" s="83">
        <f t="shared" si="10"/>
        <v>0.47301041007950628</v>
      </c>
      <c r="O24" s="83">
        <f t="shared" si="10"/>
        <v>0.47084990541901062</v>
      </c>
      <c r="P24" s="83">
        <f t="shared" si="10"/>
        <v>0.46867629017562928</v>
      </c>
      <c r="Q24" s="83">
        <f t="shared" si="10"/>
        <v>0.46867629017562928</v>
      </c>
      <c r="R24" s="83">
        <f t="shared" si="10"/>
        <v>0.4588743214714906</v>
      </c>
      <c r="S24" s="83">
        <f>+S23/S22</f>
        <v>0.4511071602522464</v>
      </c>
      <c r="T24" s="83">
        <f>+T23/T22</f>
        <v>0.44531734052175681</v>
      </c>
      <c r="U24" s="83">
        <f>+U23/U22</f>
        <v>0.44128349847194498</v>
      </c>
      <c r="V24" s="83">
        <f>+V23/V22</f>
        <v>0.43744992920131348</v>
      </c>
      <c r="X24" s="28"/>
      <c r="Y24" s="29"/>
    </row>
    <row r="25" spans="1:25" s="2" customFormat="1" x14ac:dyDescent="0.2">
      <c r="A25" s="31"/>
      <c r="B25" s="103"/>
      <c r="C25" s="145"/>
      <c r="D25" s="149"/>
      <c r="E25" s="149"/>
      <c r="F25" s="201"/>
      <c r="X25" s="9"/>
      <c r="Y25" s="11"/>
    </row>
    <row r="26" spans="1:25" s="26" customFormat="1" x14ac:dyDescent="0.2">
      <c r="A26" s="32"/>
      <c r="B26" s="25"/>
      <c r="C26" s="148"/>
      <c r="D26" s="38"/>
      <c r="E26" s="38"/>
      <c r="F26" s="207"/>
      <c r="G26" s="38"/>
      <c r="H26" s="38"/>
      <c r="I26" s="38"/>
      <c r="J26" s="38"/>
      <c r="K26" s="38"/>
      <c r="L26" s="38"/>
      <c r="M26" s="38"/>
      <c r="N26" s="38"/>
      <c r="O26" s="38"/>
      <c r="P26" s="38"/>
      <c r="Q26" s="38"/>
      <c r="R26" s="38"/>
      <c r="S26" s="38"/>
      <c r="T26" s="38"/>
      <c r="U26" s="38"/>
      <c r="V26" s="38"/>
      <c r="X26" s="28"/>
      <c r="Y26" s="29"/>
    </row>
    <row r="27" spans="1:25" s="2" customFormat="1" x14ac:dyDescent="0.2">
      <c r="A27" s="31"/>
      <c r="B27" s="53" t="s">
        <v>47</v>
      </c>
      <c r="C27" s="149"/>
      <c r="D27" s="157"/>
      <c r="E27" s="157"/>
      <c r="F27" s="202"/>
      <c r="G27" s="12"/>
      <c r="H27" s="12"/>
      <c r="I27" s="12"/>
      <c r="J27" s="12"/>
      <c r="K27" s="12"/>
      <c r="L27" s="12"/>
      <c r="M27" s="12"/>
      <c r="N27" s="12"/>
      <c r="O27" s="12"/>
      <c r="P27" s="12"/>
      <c r="Q27" s="12"/>
      <c r="R27" s="12"/>
      <c r="S27" s="12"/>
      <c r="T27" s="12"/>
      <c r="U27" s="12"/>
      <c r="V27" s="12"/>
      <c r="X27" s="9"/>
      <c r="Y27" s="11"/>
    </row>
    <row r="28" spans="1:25" s="2" customFormat="1" x14ac:dyDescent="0.2">
      <c r="A28" s="31"/>
      <c r="B28" s="25" t="s">
        <v>17</v>
      </c>
      <c r="C28" s="149"/>
      <c r="D28" s="157"/>
      <c r="E28" s="157"/>
      <c r="F28" s="202"/>
      <c r="G28" s="12"/>
      <c r="H28" s="12"/>
      <c r="I28" s="12"/>
      <c r="J28" s="12"/>
      <c r="K28" s="12"/>
      <c r="L28" s="12"/>
      <c r="M28" s="12"/>
      <c r="N28" s="12"/>
      <c r="O28" s="12"/>
      <c r="P28" s="12"/>
      <c r="Q28" s="12"/>
      <c r="R28" s="12"/>
      <c r="S28" s="12"/>
      <c r="T28" s="12"/>
      <c r="U28" s="12"/>
      <c r="V28" s="12"/>
      <c r="X28" s="9"/>
      <c r="Y28" s="11"/>
    </row>
    <row r="29" spans="1:25" s="2" customFormat="1" x14ac:dyDescent="0.2">
      <c r="A29" s="31"/>
      <c r="B29" s="1" t="s">
        <v>89</v>
      </c>
      <c r="C29" s="149"/>
      <c r="D29" s="157">
        <f>266*0.05/4</f>
        <v>3.3250000000000002</v>
      </c>
      <c r="E29" s="157">
        <v>2.0699999999999998</v>
      </c>
      <c r="F29" s="202">
        <v>1.7825</v>
      </c>
      <c r="G29" s="12">
        <v>1.4950000000000001</v>
      </c>
      <c r="H29" s="12">
        <v>1.2075</v>
      </c>
      <c r="I29" s="12">
        <v>0.92</v>
      </c>
      <c r="J29" s="12"/>
      <c r="K29" s="12"/>
      <c r="L29" s="12"/>
      <c r="M29" s="12"/>
      <c r="N29" s="12"/>
      <c r="O29" s="12"/>
      <c r="P29" s="12"/>
      <c r="Q29" s="12"/>
      <c r="R29" s="12"/>
      <c r="S29" s="12"/>
      <c r="T29" s="12"/>
      <c r="U29" s="12"/>
      <c r="V29" s="12"/>
      <c r="X29" s="9"/>
      <c r="Y29" s="11"/>
    </row>
    <row r="30" spans="1:25" s="2" customFormat="1" x14ac:dyDescent="0.2">
      <c r="A30" s="31"/>
      <c r="B30" s="1" t="s">
        <v>90</v>
      </c>
      <c r="C30" s="149"/>
      <c r="D30" s="157"/>
      <c r="E30" s="157">
        <f>+Y68/4</f>
        <v>2.629</v>
      </c>
      <c r="F30" s="202">
        <f>+E30</f>
        <v>2.629</v>
      </c>
      <c r="G30" s="12">
        <f>+F30</f>
        <v>2.629</v>
      </c>
      <c r="H30" s="12">
        <f>+G30</f>
        <v>2.629</v>
      </c>
      <c r="I30" s="12">
        <f>+H30*0.5</f>
        <v>1.3145</v>
      </c>
      <c r="J30" s="12"/>
      <c r="K30" s="12"/>
      <c r="L30" s="12"/>
      <c r="M30" s="27">
        <v>1.65</v>
      </c>
      <c r="N30" s="27">
        <v>1.65</v>
      </c>
      <c r="O30" s="27">
        <v>1.65</v>
      </c>
      <c r="P30" s="27">
        <v>1.65</v>
      </c>
      <c r="Q30" s="12"/>
      <c r="R30" s="12"/>
      <c r="S30" s="12"/>
      <c r="T30" s="12"/>
      <c r="U30" s="12"/>
      <c r="V30" s="12"/>
      <c r="X30" s="9"/>
      <c r="Y30" s="11"/>
    </row>
    <row r="31" spans="1:25" s="2" customFormat="1" x14ac:dyDescent="0.2">
      <c r="A31" s="31"/>
      <c r="B31" s="1" t="s">
        <v>25</v>
      </c>
      <c r="C31" s="187"/>
      <c r="D31" s="157">
        <v>0</v>
      </c>
      <c r="E31" s="157">
        <v>0</v>
      </c>
      <c r="F31" s="202"/>
      <c r="G31" s="12"/>
      <c r="H31" s="12"/>
      <c r="I31" s="12"/>
      <c r="J31" s="12"/>
      <c r="K31" s="12"/>
      <c r="L31" s="12"/>
      <c r="M31" s="12"/>
      <c r="N31" s="12"/>
      <c r="O31" s="12"/>
      <c r="P31" s="12"/>
      <c r="Q31" s="12"/>
      <c r="R31" s="12"/>
      <c r="S31" s="12"/>
      <c r="T31" s="12"/>
      <c r="U31" s="12"/>
      <c r="V31" s="12"/>
      <c r="X31" s="9"/>
      <c r="Y31" s="11"/>
    </row>
    <row r="32" spans="1:25" s="2" customFormat="1" x14ac:dyDescent="0.2">
      <c r="A32" s="31"/>
      <c r="B32" s="1" t="s">
        <v>34</v>
      </c>
      <c r="C32" s="149"/>
      <c r="D32" s="157">
        <f t="shared" ref="D32:K32" si="11">+$Y71/4</f>
        <v>2.875</v>
      </c>
      <c r="E32" s="157">
        <f t="shared" si="11"/>
        <v>2.875</v>
      </c>
      <c r="F32" s="202">
        <f t="shared" si="11"/>
        <v>2.875</v>
      </c>
      <c r="G32" s="12">
        <f t="shared" si="11"/>
        <v>2.875</v>
      </c>
      <c r="H32" s="12">
        <f t="shared" si="11"/>
        <v>2.875</v>
      </c>
      <c r="I32" s="12">
        <f t="shared" si="11"/>
        <v>2.875</v>
      </c>
      <c r="J32" s="12">
        <f t="shared" si="11"/>
        <v>2.875</v>
      </c>
      <c r="K32" s="12">
        <f t="shared" si="11"/>
        <v>2.875</v>
      </c>
      <c r="L32" s="127">
        <v>0.9</v>
      </c>
      <c r="M32" s="127">
        <f>+$Y71/4*0</f>
        <v>0</v>
      </c>
      <c r="N32" s="127">
        <f>+M32</f>
        <v>0</v>
      </c>
      <c r="O32" s="127">
        <f>+N32</f>
        <v>0</v>
      </c>
      <c r="P32" s="127">
        <f>+O32</f>
        <v>0</v>
      </c>
      <c r="Q32" s="127">
        <f>+P32*4</f>
        <v>0</v>
      </c>
      <c r="R32" s="127">
        <f>+Q32</f>
        <v>0</v>
      </c>
      <c r="S32" s="127">
        <f>+R32</f>
        <v>0</v>
      </c>
      <c r="T32" s="127">
        <f>+S32</f>
        <v>0</v>
      </c>
      <c r="U32" s="127">
        <f>+T32</f>
        <v>0</v>
      </c>
      <c r="V32" s="127">
        <f>+U32</f>
        <v>0</v>
      </c>
      <c r="X32" s="9"/>
      <c r="Y32" s="11"/>
    </row>
    <row r="33" spans="1:25" s="2" customFormat="1" x14ac:dyDescent="0.2">
      <c r="A33" s="31"/>
      <c r="B33" s="1" t="s">
        <v>14</v>
      </c>
      <c r="C33" s="149"/>
      <c r="D33" s="157"/>
      <c r="E33" s="157"/>
      <c r="F33" s="202"/>
      <c r="G33" s="12"/>
      <c r="H33" s="12"/>
      <c r="I33" s="12"/>
      <c r="J33" s="12"/>
      <c r="K33" s="12"/>
      <c r="L33" s="12"/>
      <c r="M33" s="12"/>
      <c r="N33" s="12"/>
      <c r="O33" s="12"/>
      <c r="P33" s="12"/>
      <c r="Q33" s="12"/>
      <c r="R33" s="12"/>
      <c r="S33" s="12"/>
      <c r="T33" s="12"/>
      <c r="U33" s="12"/>
      <c r="V33" s="12"/>
      <c r="X33" s="9"/>
      <c r="Y33" s="11"/>
    </row>
    <row r="34" spans="1:25" s="2" customFormat="1" x14ac:dyDescent="0.2">
      <c r="A34" s="31"/>
      <c r="B34" s="7" t="s">
        <v>27</v>
      </c>
      <c r="C34" s="149"/>
      <c r="D34" s="157">
        <f t="shared" ref="D34:P41" si="12">+$Y73/4</f>
        <v>2.1125000000000003</v>
      </c>
      <c r="E34" s="157">
        <f t="shared" si="12"/>
        <v>2.1125000000000003</v>
      </c>
      <c r="F34" s="202">
        <f t="shared" si="12"/>
        <v>2.1125000000000003</v>
      </c>
      <c r="G34" s="12">
        <f t="shared" si="12"/>
        <v>2.1125000000000003</v>
      </c>
      <c r="H34" s="12">
        <f t="shared" si="12"/>
        <v>2.1125000000000003</v>
      </c>
      <c r="I34" s="12">
        <f t="shared" si="12"/>
        <v>2.1125000000000003</v>
      </c>
      <c r="J34" s="12">
        <f t="shared" si="12"/>
        <v>2.1125000000000003</v>
      </c>
      <c r="K34" s="12"/>
      <c r="L34" s="12"/>
      <c r="M34" s="12"/>
      <c r="N34" s="12"/>
      <c r="O34" s="12"/>
      <c r="P34" s="12"/>
      <c r="Q34" s="12"/>
      <c r="R34" s="12"/>
      <c r="S34" s="12"/>
      <c r="T34" s="12"/>
      <c r="U34" s="12"/>
      <c r="V34" s="12"/>
      <c r="X34" s="9"/>
      <c r="Y34" s="11"/>
    </row>
    <row r="35" spans="1:25" s="2" customFormat="1" x14ac:dyDescent="0.2">
      <c r="A35" s="31"/>
      <c r="B35" s="1" t="s">
        <v>26</v>
      </c>
      <c r="C35" s="149"/>
      <c r="D35" s="157">
        <f t="shared" si="12"/>
        <v>2.140625</v>
      </c>
      <c r="E35" s="157">
        <f t="shared" si="12"/>
        <v>2.140625</v>
      </c>
      <c r="F35" s="202">
        <f t="shared" si="12"/>
        <v>2.140625</v>
      </c>
      <c r="G35" s="12">
        <f t="shared" si="12"/>
        <v>2.140625</v>
      </c>
      <c r="H35" s="12">
        <f t="shared" si="12"/>
        <v>2.140625</v>
      </c>
      <c r="I35" s="12">
        <f t="shared" si="12"/>
        <v>2.140625</v>
      </c>
      <c r="J35" s="12">
        <f t="shared" si="12"/>
        <v>2.140625</v>
      </c>
      <c r="K35" s="12">
        <f t="shared" si="12"/>
        <v>2.140625</v>
      </c>
      <c r="L35" s="12">
        <f t="shared" si="12"/>
        <v>2.140625</v>
      </c>
      <c r="M35" s="12"/>
      <c r="N35" s="12"/>
      <c r="O35" s="12"/>
      <c r="P35" s="12"/>
      <c r="Q35" s="12"/>
      <c r="R35" s="12"/>
      <c r="S35" s="12"/>
      <c r="T35" s="12"/>
      <c r="U35" s="12"/>
      <c r="V35" s="12"/>
      <c r="X35" s="9"/>
      <c r="Y35" s="11"/>
    </row>
    <row r="36" spans="1:25" s="2" customFormat="1" x14ac:dyDescent="0.2">
      <c r="A36" s="31"/>
      <c r="B36" s="1" t="s">
        <v>28</v>
      </c>
      <c r="C36" s="149"/>
      <c r="D36" s="157">
        <f t="shared" si="12"/>
        <v>3.6401249999999998</v>
      </c>
      <c r="E36" s="157">
        <f t="shared" si="12"/>
        <v>3.6401249999999998</v>
      </c>
      <c r="F36" s="202">
        <f t="shared" si="12"/>
        <v>3.6401249999999998</v>
      </c>
      <c r="G36" s="12">
        <f t="shared" si="12"/>
        <v>3.6401249999999998</v>
      </c>
      <c r="H36" s="12">
        <f t="shared" si="12"/>
        <v>3.6401249999999998</v>
      </c>
      <c r="I36" s="12">
        <f t="shared" si="12"/>
        <v>3.6401249999999998</v>
      </c>
      <c r="J36" s="12">
        <f t="shared" si="12"/>
        <v>3.6401249999999998</v>
      </c>
      <c r="K36" s="12">
        <f t="shared" si="12"/>
        <v>3.6401249999999998</v>
      </c>
      <c r="L36" s="12">
        <f t="shared" si="12"/>
        <v>3.6401249999999998</v>
      </c>
      <c r="M36" s="12">
        <f t="shared" si="12"/>
        <v>3.6401249999999998</v>
      </c>
      <c r="N36" s="12"/>
      <c r="O36" s="12"/>
      <c r="P36" s="12"/>
      <c r="Q36" s="12"/>
      <c r="R36" s="12"/>
      <c r="S36" s="12"/>
      <c r="T36" s="12"/>
      <c r="U36" s="12"/>
      <c r="V36" s="12"/>
      <c r="X36" s="9"/>
      <c r="Y36" s="11"/>
    </row>
    <row r="37" spans="1:25" s="2" customFormat="1" x14ac:dyDescent="0.2">
      <c r="A37" s="31"/>
      <c r="B37" s="1" t="s">
        <v>29</v>
      </c>
      <c r="C37" s="149"/>
      <c r="D37" s="157">
        <f t="shared" si="12"/>
        <v>2.5185</v>
      </c>
      <c r="E37" s="157">
        <f t="shared" si="12"/>
        <v>2.5185</v>
      </c>
      <c r="F37" s="202">
        <f t="shared" si="12"/>
        <v>2.5185</v>
      </c>
      <c r="G37" s="12">
        <f t="shared" si="12"/>
        <v>2.5185</v>
      </c>
      <c r="H37" s="12">
        <f t="shared" si="12"/>
        <v>2.5185</v>
      </c>
      <c r="I37" s="12">
        <f t="shared" si="12"/>
        <v>2.5185</v>
      </c>
      <c r="J37" s="12">
        <f t="shared" si="12"/>
        <v>2.5185</v>
      </c>
      <c r="K37" s="12">
        <f t="shared" si="12"/>
        <v>2.5185</v>
      </c>
      <c r="L37" s="12">
        <f t="shared" si="12"/>
        <v>2.5185</v>
      </c>
      <c r="M37" s="12">
        <f t="shared" si="12"/>
        <v>2.5185</v>
      </c>
      <c r="N37" s="12">
        <f t="shared" si="12"/>
        <v>2.5185</v>
      </c>
      <c r="O37" s="12">
        <f t="shared" si="12"/>
        <v>2.5185</v>
      </c>
      <c r="P37" s="12">
        <f t="shared" si="12"/>
        <v>2.5185</v>
      </c>
      <c r="Q37" s="12">
        <v>1.5</v>
      </c>
      <c r="R37" s="12"/>
      <c r="S37" s="12"/>
      <c r="T37" s="12"/>
      <c r="U37" s="12"/>
      <c r="V37" s="12"/>
      <c r="X37" s="9"/>
      <c r="Y37" s="11"/>
    </row>
    <row r="38" spans="1:25" s="2" customFormat="1" x14ac:dyDescent="0.2">
      <c r="A38" s="31"/>
      <c r="B38" s="1" t="s">
        <v>30</v>
      </c>
      <c r="C38" s="149"/>
      <c r="D38" s="157">
        <f t="shared" si="12"/>
        <v>4.2</v>
      </c>
      <c r="E38" s="157">
        <f t="shared" si="12"/>
        <v>4.2</v>
      </c>
      <c r="F38" s="202">
        <f t="shared" si="12"/>
        <v>4.2</v>
      </c>
      <c r="G38" s="12">
        <f t="shared" si="12"/>
        <v>4.2</v>
      </c>
      <c r="H38" s="12">
        <f t="shared" si="12"/>
        <v>4.2</v>
      </c>
      <c r="I38" s="12">
        <f t="shared" si="12"/>
        <v>4.2</v>
      </c>
      <c r="J38" s="12">
        <f t="shared" si="12"/>
        <v>4.2</v>
      </c>
      <c r="K38" s="12">
        <f t="shared" si="12"/>
        <v>4.2</v>
      </c>
      <c r="L38" s="12">
        <f t="shared" si="12"/>
        <v>4.2</v>
      </c>
      <c r="M38" s="12">
        <f t="shared" si="12"/>
        <v>4.2</v>
      </c>
      <c r="N38" s="12">
        <f t="shared" si="12"/>
        <v>4.2</v>
      </c>
      <c r="O38" s="12">
        <f t="shared" si="12"/>
        <v>4.2</v>
      </c>
      <c r="P38" s="12">
        <f t="shared" si="12"/>
        <v>4.2</v>
      </c>
      <c r="Q38" s="12">
        <f>+P38*4</f>
        <v>16.8</v>
      </c>
      <c r="R38" s="12">
        <f>+Q38/6</f>
        <v>2.8000000000000003</v>
      </c>
      <c r="S38" s="12"/>
      <c r="T38" s="12"/>
      <c r="U38" s="12"/>
      <c r="V38" s="12"/>
      <c r="X38" s="9"/>
      <c r="Y38" s="11"/>
    </row>
    <row r="39" spans="1:25" s="2" customFormat="1" x14ac:dyDescent="0.2">
      <c r="A39" s="31"/>
      <c r="B39" s="1" t="s">
        <v>31</v>
      </c>
      <c r="C39" s="149"/>
      <c r="D39" s="157">
        <f t="shared" si="12"/>
        <v>1.769625</v>
      </c>
      <c r="E39" s="157">
        <f t="shared" si="12"/>
        <v>1.769625</v>
      </c>
      <c r="F39" s="202">
        <f t="shared" si="12"/>
        <v>1.769625</v>
      </c>
      <c r="G39" s="12">
        <f t="shared" si="12"/>
        <v>1.769625</v>
      </c>
      <c r="H39" s="12">
        <f t="shared" si="12"/>
        <v>1.769625</v>
      </c>
      <c r="I39" s="12">
        <f t="shared" si="12"/>
        <v>1.769625</v>
      </c>
      <c r="J39" s="12">
        <f t="shared" si="12"/>
        <v>1.769625</v>
      </c>
      <c r="K39" s="12">
        <f t="shared" si="12"/>
        <v>1.769625</v>
      </c>
      <c r="L39" s="12">
        <f t="shared" si="12"/>
        <v>1.769625</v>
      </c>
      <c r="M39" s="12">
        <f t="shared" si="12"/>
        <v>1.769625</v>
      </c>
      <c r="N39" s="12">
        <f t="shared" si="12"/>
        <v>1.769625</v>
      </c>
      <c r="O39" s="12">
        <f t="shared" si="12"/>
        <v>1.769625</v>
      </c>
      <c r="P39" s="12">
        <f t="shared" si="12"/>
        <v>1.769625</v>
      </c>
      <c r="Q39" s="12">
        <f>+P39*4</f>
        <v>7.0785</v>
      </c>
      <c r="R39" s="12">
        <f t="shared" ref="R39:T41" si="13">+Q39</f>
        <v>7.0785</v>
      </c>
      <c r="S39" s="12">
        <f t="shared" si="13"/>
        <v>7.0785</v>
      </c>
      <c r="T39" s="12">
        <f t="shared" si="13"/>
        <v>7.0785</v>
      </c>
      <c r="U39" s="12">
        <f>+T39*0.9</f>
        <v>6.3706500000000004</v>
      </c>
      <c r="V39" s="12"/>
      <c r="X39" s="9"/>
      <c r="Y39" s="11"/>
    </row>
    <row r="40" spans="1:25" s="2" customFormat="1" x14ac:dyDescent="0.2">
      <c r="A40" s="31"/>
      <c r="B40" s="1" t="s">
        <v>32</v>
      </c>
      <c r="C40" s="149"/>
      <c r="D40" s="157">
        <f t="shared" si="12"/>
        <v>5.8125</v>
      </c>
      <c r="E40" s="157">
        <f t="shared" si="12"/>
        <v>5.8125</v>
      </c>
      <c r="F40" s="202">
        <f t="shared" si="12"/>
        <v>5.8125</v>
      </c>
      <c r="G40" s="12">
        <f t="shared" si="12"/>
        <v>5.8125</v>
      </c>
      <c r="H40" s="12">
        <f t="shared" si="12"/>
        <v>5.8125</v>
      </c>
      <c r="I40" s="12">
        <f t="shared" si="12"/>
        <v>5.8125</v>
      </c>
      <c r="J40" s="12">
        <f t="shared" si="12"/>
        <v>5.8125</v>
      </c>
      <c r="K40" s="12">
        <f t="shared" si="12"/>
        <v>5.8125</v>
      </c>
      <c r="L40" s="12">
        <f t="shared" si="12"/>
        <v>5.8125</v>
      </c>
      <c r="M40" s="12">
        <f t="shared" si="12"/>
        <v>5.8125</v>
      </c>
      <c r="N40" s="12">
        <f t="shared" si="12"/>
        <v>5.8125</v>
      </c>
      <c r="O40" s="12">
        <f t="shared" si="12"/>
        <v>5.8125</v>
      </c>
      <c r="P40" s="12">
        <f t="shared" si="12"/>
        <v>5.8125</v>
      </c>
      <c r="Q40" s="12">
        <f>+P40*4</f>
        <v>23.25</v>
      </c>
      <c r="R40" s="12">
        <f t="shared" si="13"/>
        <v>23.25</v>
      </c>
      <c r="S40" s="12">
        <f t="shared" si="13"/>
        <v>23.25</v>
      </c>
      <c r="T40" s="12">
        <f t="shared" si="13"/>
        <v>23.25</v>
      </c>
      <c r="U40" s="12">
        <f>+T40</f>
        <v>23.25</v>
      </c>
      <c r="V40" s="12">
        <f>+U40*0.25</f>
        <v>5.8125</v>
      </c>
      <c r="X40" s="9"/>
      <c r="Y40" s="11"/>
    </row>
    <row r="41" spans="1:25" s="2" customFormat="1" x14ac:dyDescent="0.2">
      <c r="A41" s="31"/>
      <c r="B41" s="1" t="s">
        <v>33</v>
      </c>
      <c r="C41" s="149"/>
      <c r="D41" s="157">
        <f t="shared" si="12"/>
        <v>0.265625</v>
      </c>
      <c r="E41" s="157">
        <f t="shared" si="12"/>
        <v>0.265625</v>
      </c>
      <c r="F41" s="202">
        <f t="shared" si="12"/>
        <v>0.265625</v>
      </c>
      <c r="G41" s="12">
        <f t="shared" si="12"/>
        <v>0.265625</v>
      </c>
      <c r="H41" s="12">
        <f t="shared" si="12"/>
        <v>0.265625</v>
      </c>
      <c r="I41" s="12">
        <f t="shared" si="12"/>
        <v>0.265625</v>
      </c>
      <c r="J41" s="12">
        <f t="shared" si="12"/>
        <v>0.265625</v>
      </c>
      <c r="K41" s="12">
        <f t="shared" si="12"/>
        <v>0.265625</v>
      </c>
      <c r="L41" s="12">
        <f t="shared" si="12"/>
        <v>0.265625</v>
      </c>
      <c r="M41" s="12">
        <f t="shared" si="12"/>
        <v>0.265625</v>
      </c>
      <c r="N41" s="12">
        <f t="shared" si="12"/>
        <v>0.265625</v>
      </c>
      <c r="O41" s="12">
        <f t="shared" si="12"/>
        <v>0.265625</v>
      </c>
      <c r="P41" s="12">
        <f t="shared" si="12"/>
        <v>0.265625</v>
      </c>
      <c r="Q41" s="12">
        <f>+P41*4</f>
        <v>1.0625</v>
      </c>
      <c r="R41" s="12">
        <f t="shared" si="13"/>
        <v>1.0625</v>
      </c>
      <c r="S41" s="12">
        <f t="shared" si="13"/>
        <v>1.0625</v>
      </c>
      <c r="T41" s="12">
        <f t="shared" si="13"/>
        <v>1.0625</v>
      </c>
      <c r="U41" s="12">
        <f>+T41</f>
        <v>1.0625</v>
      </c>
      <c r="V41" s="12">
        <f>+U41</f>
        <v>1.0625</v>
      </c>
      <c r="X41" s="9"/>
      <c r="Y41" s="11"/>
    </row>
    <row r="42" spans="1:25" s="2" customFormat="1" x14ac:dyDescent="0.2">
      <c r="A42" s="31"/>
      <c r="B42" s="19" t="s">
        <v>101</v>
      </c>
      <c r="C42" s="149"/>
      <c r="D42" s="157">
        <f>35.6-28.7</f>
        <v>6.9000000000000021</v>
      </c>
      <c r="E42" s="157">
        <f>32.9-30</f>
        <v>2.8999999999999986</v>
      </c>
      <c r="F42" s="202">
        <v>-2.7</v>
      </c>
      <c r="G42" s="12"/>
      <c r="H42" s="12"/>
      <c r="I42" s="12"/>
      <c r="J42" s="12"/>
      <c r="K42" s="12"/>
      <c r="L42" s="12"/>
      <c r="M42" s="12"/>
      <c r="N42" s="12"/>
      <c r="O42" s="12"/>
      <c r="P42" s="12"/>
      <c r="Q42" s="12"/>
      <c r="R42" s="12"/>
      <c r="S42" s="12"/>
      <c r="T42" s="12"/>
      <c r="U42" s="12"/>
      <c r="V42" s="12"/>
      <c r="X42" s="9"/>
      <c r="Y42" s="11"/>
    </row>
    <row r="43" spans="1:25" s="2" customFormat="1" x14ac:dyDescent="0.2">
      <c r="A43" s="31"/>
      <c r="B43" s="19"/>
      <c r="C43" s="149"/>
      <c r="D43" s="157"/>
      <c r="E43" s="157"/>
      <c r="F43" s="202"/>
      <c r="G43" s="12"/>
      <c r="H43" s="12"/>
      <c r="I43" s="12"/>
      <c r="J43" s="12"/>
      <c r="K43" s="12"/>
      <c r="L43" s="12"/>
      <c r="M43" s="12"/>
      <c r="N43" s="12"/>
      <c r="O43" s="12"/>
      <c r="P43" s="12"/>
      <c r="Q43" s="12"/>
      <c r="R43" s="12"/>
      <c r="S43" s="12"/>
      <c r="T43" s="12"/>
      <c r="U43" s="12"/>
      <c r="V43" s="12"/>
      <c r="X43" s="9"/>
      <c r="Y43" s="11"/>
    </row>
    <row r="44" spans="1:25" s="2" customFormat="1" x14ac:dyDescent="0.2">
      <c r="A44" s="31" t="s">
        <v>119</v>
      </c>
      <c r="B44" s="19" t="s">
        <v>115</v>
      </c>
      <c r="C44" s="149"/>
      <c r="D44" s="157"/>
      <c r="E44" s="157">
        <v>1.9</v>
      </c>
      <c r="F44" s="202">
        <f>7.4-E44</f>
        <v>5.5</v>
      </c>
      <c r="G44" s="12"/>
      <c r="H44" s="12"/>
      <c r="I44" s="12"/>
      <c r="J44" s="12"/>
      <c r="K44" s="12"/>
      <c r="L44" s="12"/>
      <c r="M44" s="12"/>
      <c r="N44" s="12"/>
      <c r="O44" s="12"/>
      <c r="P44" s="12"/>
      <c r="Q44" s="12"/>
      <c r="R44" s="12"/>
      <c r="S44" s="12"/>
      <c r="T44" s="12"/>
      <c r="U44" s="12"/>
      <c r="V44" s="12"/>
      <c r="X44" s="9"/>
      <c r="Y44" s="11"/>
    </row>
    <row r="45" spans="1:25" s="2" customFormat="1" x14ac:dyDescent="0.2">
      <c r="A45" s="31"/>
      <c r="B45" s="25"/>
      <c r="C45" s="149"/>
      <c r="D45" s="157"/>
      <c r="E45" s="157"/>
      <c r="F45" s="202"/>
      <c r="G45" s="12"/>
      <c r="H45" s="12"/>
      <c r="I45" s="12"/>
      <c r="J45" s="12"/>
      <c r="K45" s="12"/>
      <c r="L45" s="12"/>
      <c r="M45" s="12"/>
      <c r="N45" s="12"/>
      <c r="O45" s="12"/>
      <c r="P45" s="12"/>
      <c r="Q45" s="12"/>
      <c r="R45" s="12"/>
      <c r="S45" s="12"/>
      <c r="T45" s="12"/>
      <c r="U45" s="12"/>
      <c r="V45" s="12"/>
      <c r="X45" s="9"/>
      <c r="Y45" s="11"/>
    </row>
    <row r="46" spans="1:25" s="2" customFormat="1" x14ac:dyDescent="0.2">
      <c r="A46" s="31"/>
      <c r="B46" s="25" t="s">
        <v>117</v>
      </c>
      <c r="C46" s="149"/>
      <c r="D46" s="157">
        <v>27.3</v>
      </c>
      <c r="E46" s="192">
        <v>29.8</v>
      </c>
      <c r="F46" s="202">
        <f>+(125-$E$46)/3</f>
        <v>31.733333333333334</v>
      </c>
      <c r="G46" s="12">
        <f t="shared" ref="G46:P46" si="14">+F46</f>
        <v>31.733333333333334</v>
      </c>
      <c r="H46" s="12">
        <f t="shared" si="14"/>
        <v>31.733333333333334</v>
      </c>
      <c r="I46" s="12">
        <v>35</v>
      </c>
      <c r="J46" s="12">
        <f t="shared" si="14"/>
        <v>35</v>
      </c>
      <c r="K46" s="12">
        <f t="shared" si="14"/>
        <v>35</v>
      </c>
      <c r="L46" s="12">
        <f t="shared" si="14"/>
        <v>35</v>
      </c>
      <c r="M46" s="12">
        <f t="shared" si="14"/>
        <v>35</v>
      </c>
      <c r="N46" s="12">
        <f t="shared" si="14"/>
        <v>35</v>
      </c>
      <c r="O46" s="12">
        <f t="shared" si="14"/>
        <v>35</v>
      </c>
      <c r="P46" s="12">
        <f t="shared" si="14"/>
        <v>35</v>
      </c>
      <c r="Q46" s="12">
        <f>+P46*4</f>
        <v>140</v>
      </c>
      <c r="R46" s="12">
        <f>+Q46</f>
        <v>140</v>
      </c>
      <c r="S46" s="12">
        <f>+R46</f>
        <v>140</v>
      </c>
      <c r="T46" s="12">
        <f>+S46</f>
        <v>140</v>
      </c>
      <c r="U46" s="12">
        <f>+T46</f>
        <v>140</v>
      </c>
      <c r="V46" s="12">
        <f>+U46</f>
        <v>140</v>
      </c>
      <c r="X46" s="9"/>
      <c r="Y46" s="11"/>
    </row>
    <row r="47" spans="1:25" s="2" customFormat="1" x14ac:dyDescent="0.2">
      <c r="A47" s="31"/>
      <c r="C47" s="149"/>
      <c r="D47" s="157"/>
      <c r="E47" s="157"/>
      <c r="F47" s="202"/>
      <c r="G47" s="12"/>
      <c r="H47" s="12"/>
      <c r="I47" s="12"/>
      <c r="J47" s="12"/>
      <c r="K47" s="12"/>
      <c r="L47" s="12"/>
      <c r="M47" s="12"/>
      <c r="N47" s="12"/>
      <c r="O47" s="12"/>
      <c r="P47" s="12"/>
      <c r="Q47" s="12"/>
      <c r="R47" s="12"/>
      <c r="S47" s="12"/>
      <c r="T47" s="12"/>
      <c r="U47" s="12"/>
      <c r="V47" s="12"/>
      <c r="X47" s="9"/>
      <c r="Y47" s="11"/>
    </row>
    <row r="48" spans="1:25" s="2" customFormat="1" x14ac:dyDescent="0.2">
      <c r="A48" s="31"/>
      <c r="B48" s="25" t="s">
        <v>71</v>
      </c>
      <c r="C48" s="149"/>
      <c r="D48" s="157">
        <v>14.7</v>
      </c>
      <c r="E48" s="157">
        <v>8.1999999999999993</v>
      </c>
      <c r="F48" s="202">
        <f>16.9-E48</f>
        <v>8.6999999999999993</v>
      </c>
      <c r="G48" s="12">
        <f t="shared" ref="G48:P48" si="15">+F48</f>
        <v>8.6999999999999993</v>
      </c>
      <c r="H48" s="12">
        <f t="shared" si="15"/>
        <v>8.6999999999999993</v>
      </c>
      <c r="I48" s="12">
        <f t="shared" si="15"/>
        <v>8.6999999999999993</v>
      </c>
      <c r="J48" s="12">
        <f t="shared" si="15"/>
        <v>8.6999999999999993</v>
      </c>
      <c r="K48" s="12">
        <f t="shared" si="15"/>
        <v>8.6999999999999993</v>
      </c>
      <c r="L48" s="12">
        <f t="shared" si="15"/>
        <v>8.6999999999999993</v>
      </c>
      <c r="M48" s="12">
        <f t="shared" si="15"/>
        <v>8.6999999999999993</v>
      </c>
      <c r="N48" s="12">
        <f t="shared" si="15"/>
        <v>8.6999999999999993</v>
      </c>
      <c r="O48" s="12">
        <f t="shared" si="15"/>
        <v>8.6999999999999993</v>
      </c>
      <c r="P48" s="12">
        <f t="shared" si="15"/>
        <v>8.6999999999999993</v>
      </c>
      <c r="Q48" s="12">
        <f>+P48*4</f>
        <v>34.799999999999997</v>
      </c>
      <c r="R48" s="12">
        <f>+Q48</f>
        <v>34.799999999999997</v>
      </c>
      <c r="S48" s="12">
        <f>+R48</f>
        <v>34.799999999999997</v>
      </c>
      <c r="T48" s="12">
        <f>+S48</f>
        <v>34.799999999999997</v>
      </c>
      <c r="U48" s="12">
        <f>+T48</f>
        <v>34.799999999999997</v>
      </c>
      <c r="V48" s="12">
        <f>+U48</f>
        <v>34.799999999999997</v>
      </c>
      <c r="X48" s="9"/>
      <c r="Y48" s="11"/>
    </row>
    <row r="49" spans="1:25" s="2" customFormat="1" x14ac:dyDescent="0.2">
      <c r="A49" s="31" t="s">
        <v>119</v>
      </c>
      <c r="B49" s="25" t="s">
        <v>116</v>
      </c>
      <c r="C49" s="149"/>
      <c r="D49" s="157">
        <v>0</v>
      </c>
      <c r="E49" s="157">
        <v>13.036</v>
      </c>
      <c r="F49" s="202">
        <v>0</v>
      </c>
      <c r="G49" s="12">
        <v>0</v>
      </c>
      <c r="H49" s="12">
        <v>0</v>
      </c>
      <c r="I49" s="27">
        <v>13</v>
      </c>
      <c r="J49" s="12">
        <v>0</v>
      </c>
      <c r="K49" s="12">
        <v>0</v>
      </c>
      <c r="L49" s="12">
        <v>0</v>
      </c>
      <c r="M49" s="27">
        <v>13</v>
      </c>
      <c r="N49" s="12">
        <v>0</v>
      </c>
      <c r="O49" s="12">
        <v>0</v>
      </c>
      <c r="P49" s="12">
        <v>0</v>
      </c>
      <c r="Q49" s="27">
        <v>13</v>
      </c>
      <c r="R49" s="27">
        <v>13</v>
      </c>
      <c r="S49" s="12">
        <v>0</v>
      </c>
      <c r="T49" s="12">
        <v>0</v>
      </c>
      <c r="U49" s="12">
        <v>0</v>
      </c>
      <c r="V49" s="12">
        <v>0</v>
      </c>
      <c r="X49" s="9"/>
      <c r="Y49" s="11"/>
    </row>
    <row r="50" spans="1:25" s="2" customFormat="1" x14ac:dyDescent="0.2">
      <c r="A50" s="31" t="s">
        <v>119</v>
      </c>
      <c r="B50" s="25" t="s">
        <v>118</v>
      </c>
      <c r="C50" s="149"/>
      <c r="D50" s="157"/>
      <c r="E50" s="157">
        <f>42.736+(315.3-310.1)</f>
        <v>47.935999999999986</v>
      </c>
      <c r="F50" s="202">
        <f>30.4-E50-0.7</f>
        <v>-18.235999999999986</v>
      </c>
      <c r="G50" s="12"/>
      <c r="H50" s="12"/>
      <c r="I50" s="12"/>
      <c r="J50" s="12"/>
      <c r="K50" s="12"/>
      <c r="L50" s="12"/>
      <c r="M50" s="12"/>
      <c r="N50" s="12"/>
      <c r="O50" s="12"/>
      <c r="P50" s="12"/>
      <c r="Q50" s="12"/>
      <c r="R50" s="12"/>
      <c r="S50" s="12"/>
      <c r="T50" s="12"/>
      <c r="U50" s="12"/>
      <c r="V50" s="12"/>
      <c r="X50" s="9"/>
      <c r="Y50" s="11"/>
    </row>
    <row r="51" spans="1:25" s="2" customFormat="1" x14ac:dyDescent="0.2">
      <c r="A51" s="31"/>
      <c r="C51" s="149"/>
      <c r="D51" s="157"/>
      <c r="E51" s="157"/>
      <c r="F51" s="202"/>
      <c r="G51" s="12"/>
      <c r="H51" s="12"/>
      <c r="I51" s="12"/>
      <c r="J51" s="12"/>
      <c r="K51" s="12"/>
      <c r="L51" s="12"/>
      <c r="M51" s="12"/>
      <c r="N51" s="12"/>
      <c r="O51" s="12"/>
      <c r="P51" s="12"/>
      <c r="Q51" s="12"/>
      <c r="R51" s="12"/>
      <c r="S51" s="12"/>
      <c r="T51" s="12"/>
      <c r="U51" s="12"/>
      <c r="V51" s="12"/>
      <c r="X51" s="9"/>
      <c r="Y51" s="11"/>
    </row>
    <row r="52" spans="1:25" s="2" customFormat="1" x14ac:dyDescent="0.2">
      <c r="A52" s="31"/>
      <c r="B52" s="25" t="s">
        <v>102</v>
      </c>
      <c r="C52" s="149"/>
      <c r="D52" s="157">
        <v>2.9</v>
      </c>
      <c r="E52" s="157">
        <v>0</v>
      </c>
      <c r="F52" s="202"/>
      <c r="G52" s="12"/>
      <c r="H52" s="12"/>
      <c r="I52" s="12"/>
      <c r="J52" s="12"/>
      <c r="K52" s="12"/>
      <c r="L52" s="12"/>
      <c r="M52" s="12"/>
      <c r="N52" s="12"/>
      <c r="O52" s="12"/>
      <c r="P52" s="12"/>
      <c r="Q52" s="12"/>
      <c r="R52" s="12"/>
      <c r="S52" s="12"/>
      <c r="T52" s="12"/>
      <c r="U52" s="12"/>
      <c r="V52" s="12"/>
      <c r="X52" s="9"/>
      <c r="Y52" s="11"/>
    </row>
    <row r="53" spans="1:25" s="2" customFormat="1" x14ac:dyDescent="0.2">
      <c r="A53" s="31"/>
      <c r="B53" s="2" t="s">
        <v>103</v>
      </c>
      <c r="C53" s="149"/>
      <c r="D53" s="157">
        <v>0.5</v>
      </c>
      <c r="E53" s="157"/>
      <c r="F53" s="202"/>
      <c r="G53" s="12"/>
      <c r="H53" s="12"/>
      <c r="I53" s="12"/>
      <c r="J53" s="12"/>
      <c r="K53" s="12"/>
      <c r="L53" s="12"/>
      <c r="M53" s="12"/>
      <c r="N53" s="12"/>
      <c r="O53" s="12"/>
      <c r="P53" s="12"/>
      <c r="Q53" s="12"/>
      <c r="R53" s="12"/>
      <c r="S53" s="12"/>
      <c r="T53" s="12"/>
      <c r="U53" s="12"/>
      <c r="V53" s="12"/>
      <c r="X53" s="9"/>
      <c r="Y53" s="11"/>
    </row>
    <row r="54" spans="1:25" s="2" customFormat="1" x14ac:dyDescent="0.2">
      <c r="A54" s="31"/>
      <c r="B54" s="25" t="s">
        <v>19</v>
      </c>
      <c r="C54" s="150" t="s">
        <v>107</v>
      </c>
      <c r="D54" s="157">
        <v>10</v>
      </c>
      <c r="E54" s="157">
        <v>0</v>
      </c>
      <c r="F54" s="202">
        <v>0</v>
      </c>
      <c r="G54" s="12">
        <f t="shared" ref="G54:P54" si="16">+F54</f>
        <v>0</v>
      </c>
      <c r="H54" s="12">
        <f t="shared" si="16"/>
        <v>0</v>
      </c>
      <c r="I54" s="12">
        <f t="shared" si="16"/>
        <v>0</v>
      </c>
      <c r="J54" s="12">
        <f t="shared" si="16"/>
        <v>0</v>
      </c>
      <c r="K54" s="12">
        <f t="shared" si="16"/>
        <v>0</v>
      </c>
      <c r="L54" s="12">
        <f t="shared" si="16"/>
        <v>0</v>
      </c>
      <c r="M54" s="12">
        <f t="shared" si="16"/>
        <v>0</v>
      </c>
      <c r="N54" s="12">
        <f t="shared" si="16"/>
        <v>0</v>
      </c>
      <c r="O54" s="12">
        <f t="shared" si="16"/>
        <v>0</v>
      </c>
      <c r="P54" s="12">
        <f t="shared" si="16"/>
        <v>0</v>
      </c>
      <c r="Q54" s="12">
        <f>+P54*4</f>
        <v>0</v>
      </c>
      <c r="R54" s="12">
        <f>+Q54</f>
        <v>0</v>
      </c>
      <c r="S54" s="12">
        <f>+R54</f>
        <v>0</v>
      </c>
      <c r="T54" s="12">
        <f>+S54</f>
        <v>0</v>
      </c>
      <c r="U54" s="12">
        <f>+T54</f>
        <v>0</v>
      </c>
      <c r="V54" s="12">
        <f>+U54</f>
        <v>0</v>
      </c>
      <c r="X54" s="9"/>
      <c r="Y54" s="11"/>
    </row>
    <row r="55" spans="1:25" s="2" customFormat="1" x14ac:dyDescent="0.2">
      <c r="A55" s="31"/>
      <c r="C55" s="150"/>
      <c r="D55" s="157"/>
      <c r="E55" s="157"/>
      <c r="F55" s="210"/>
      <c r="G55" s="13"/>
      <c r="H55" s="13"/>
      <c r="I55" s="13"/>
      <c r="J55" s="13"/>
      <c r="K55" s="13"/>
      <c r="L55" s="13"/>
      <c r="M55" s="13"/>
      <c r="N55" s="13"/>
      <c r="O55" s="13"/>
      <c r="P55" s="13"/>
      <c r="Q55" s="13"/>
      <c r="R55" s="13"/>
      <c r="S55" s="13"/>
      <c r="T55" s="13"/>
      <c r="U55" s="13"/>
      <c r="V55" s="13"/>
      <c r="X55" s="9"/>
      <c r="Y55" s="11"/>
    </row>
    <row r="56" spans="1:25" s="26" customFormat="1" x14ac:dyDescent="0.2">
      <c r="A56" s="32" t="s">
        <v>40</v>
      </c>
      <c r="B56" s="25" t="s">
        <v>21</v>
      </c>
      <c r="C56" s="151"/>
      <c r="D56" s="38">
        <f>SUM(D28:D55)</f>
        <v>90.959500000000006</v>
      </c>
      <c r="E56" s="38">
        <f>SUM(E28:E55)</f>
        <v>133.80549999999999</v>
      </c>
      <c r="F56" s="207">
        <f t="shared" ref="F56:R56" si="17">SUM(F28:F55)</f>
        <v>54.743333333333354</v>
      </c>
      <c r="G56" s="27">
        <f t="shared" si="17"/>
        <v>69.891833333333338</v>
      </c>
      <c r="H56" s="27">
        <f t="shared" si="17"/>
        <v>69.604333333333329</v>
      </c>
      <c r="I56" s="27">
        <f t="shared" si="17"/>
        <v>84.269000000000005</v>
      </c>
      <c r="J56" s="27">
        <f t="shared" si="17"/>
        <v>69.034500000000008</v>
      </c>
      <c r="K56" s="27">
        <f t="shared" si="17"/>
        <v>66.921999999999997</v>
      </c>
      <c r="L56" s="27">
        <f t="shared" si="17"/>
        <v>64.947000000000003</v>
      </c>
      <c r="M56" s="27">
        <f t="shared" si="17"/>
        <v>76.556375000000003</v>
      </c>
      <c r="N56" s="27">
        <f t="shared" si="17"/>
        <v>59.916250000000005</v>
      </c>
      <c r="O56" s="27">
        <f t="shared" si="17"/>
        <v>59.916250000000005</v>
      </c>
      <c r="P56" s="27">
        <f t="shared" si="17"/>
        <v>59.916250000000005</v>
      </c>
      <c r="Q56" s="27">
        <f t="shared" si="17"/>
        <v>237.49099999999999</v>
      </c>
      <c r="R56" s="27">
        <f t="shared" si="17"/>
        <v>221.99099999999999</v>
      </c>
      <c r="S56" s="27">
        <f>SUM(S28:S55)</f>
        <v>206.19099999999997</v>
      </c>
      <c r="T56" s="27">
        <f>SUM(T28:T55)</f>
        <v>206.19099999999997</v>
      </c>
      <c r="U56" s="27">
        <f>SUM(U28:U55)</f>
        <v>205.48315000000002</v>
      </c>
      <c r="V56" s="27">
        <f>SUM(V28:V55)</f>
        <v>181.67500000000001</v>
      </c>
      <c r="X56" s="28"/>
      <c r="Y56" s="29"/>
    </row>
    <row r="57" spans="1:25" s="26" customFormat="1" x14ac:dyDescent="0.2">
      <c r="A57" s="32"/>
      <c r="B57" s="25"/>
      <c r="C57" s="151"/>
      <c r="D57" s="38"/>
      <c r="E57" s="38"/>
      <c r="F57" s="207"/>
      <c r="G57" s="27"/>
      <c r="H57" s="27"/>
      <c r="I57" s="27"/>
      <c r="J57" s="27"/>
      <c r="K57" s="27"/>
      <c r="L57" s="27"/>
      <c r="M57" s="27"/>
      <c r="N57" s="27"/>
      <c r="O57" s="27"/>
      <c r="P57" s="27"/>
      <c r="Q57" s="27"/>
      <c r="R57" s="27"/>
      <c r="S57" s="27"/>
      <c r="T57" s="27"/>
      <c r="U57" s="27"/>
      <c r="V57" s="27"/>
      <c r="X57" s="28"/>
      <c r="Y57" s="29"/>
    </row>
    <row r="58" spans="1:25" s="26" customFormat="1" x14ac:dyDescent="0.2">
      <c r="A58" s="32"/>
      <c r="B58" s="3" t="s">
        <v>35</v>
      </c>
      <c r="C58" s="145"/>
      <c r="D58" s="157">
        <v>52</v>
      </c>
      <c r="E58" s="38"/>
      <c r="F58" s="207"/>
      <c r="G58" s="27"/>
      <c r="H58" s="27"/>
      <c r="I58" s="27"/>
      <c r="J58" s="27"/>
      <c r="K58" s="27"/>
      <c r="L58" s="27"/>
      <c r="M58" s="27"/>
      <c r="N58" s="27"/>
      <c r="O58" s="27"/>
      <c r="P58" s="27"/>
      <c r="Q58" s="27"/>
      <c r="R58" s="27"/>
      <c r="S58" s="27"/>
      <c r="T58" s="27"/>
      <c r="U58" s="27"/>
      <c r="V58" s="27"/>
      <c r="X58" s="28"/>
      <c r="Y58" s="29"/>
    </row>
    <row r="59" spans="1:25" s="2" customFormat="1" x14ac:dyDescent="0.2">
      <c r="A59" s="31"/>
      <c r="B59" s="3" t="s">
        <v>54</v>
      </c>
      <c r="C59" s="145"/>
      <c r="D59" s="157">
        <v>72</v>
      </c>
      <c r="E59" s="157"/>
      <c r="F59" s="210"/>
      <c r="G59" s="13"/>
      <c r="H59" s="13"/>
      <c r="I59" s="13"/>
      <c r="J59" s="13"/>
      <c r="K59" s="13"/>
      <c r="L59" s="13"/>
      <c r="M59" s="13"/>
      <c r="N59" s="13"/>
      <c r="O59" s="13"/>
      <c r="P59" s="13"/>
      <c r="Q59" s="13"/>
      <c r="R59" s="13"/>
      <c r="S59" s="13"/>
      <c r="T59" s="13"/>
      <c r="U59" s="13"/>
      <c r="V59" s="13"/>
      <c r="X59" s="9"/>
      <c r="Y59" s="11"/>
    </row>
    <row r="60" spans="1:25" s="26" customFormat="1" ht="13.5" thickBot="1" x14ac:dyDescent="0.25">
      <c r="A60" s="32" t="s">
        <v>41</v>
      </c>
      <c r="B60" s="25" t="s">
        <v>43</v>
      </c>
      <c r="C60" s="152" t="s">
        <v>44</v>
      </c>
      <c r="D60" s="33">
        <f>+D23-D56+D59+D58</f>
        <v>180.15050000000002</v>
      </c>
      <c r="E60" s="33">
        <f t="shared" ref="E60:V60" si="18">+E23-E56</f>
        <v>12.194500000000005</v>
      </c>
      <c r="F60" s="211">
        <f t="shared" si="18"/>
        <v>90.456666666666635</v>
      </c>
      <c r="G60" s="33">
        <f t="shared" si="18"/>
        <v>69.332202666666674</v>
      </c>
      <c r="H60" s="33">
        <f t="shared" si="18"/>
        <v>65.034237508666678</v>
      </c>
      <c r="I60" s="33">
        <f t="shared" si="18"/>
        <v>46.940072547577017</v>
      </c>
      <c r="J60" s="33">
        <f t="shared" si="18"/>
        <v>58.130186103715204</v>
      </c>
      <c r="K60" s="33">
        <f t="shared" si="18"/>
        <v>56.469808267654059</v>
      </c>
      <c r="L60" s="33">
        <f t="shared" si="18"/>
        <v>55.682370034031038</v>
      </c>
      <c r="M60" s="33">
        <f t="shared" si="18"/>
        <v>41.492107112615884</v>
      </c>
      <c r="N60" s="33">
        <f t="shared" si="18"/>
        <v>55.726256357844861</v>
      </c>
      <c r="O60" s="33">
        <f t="shared" si="18"/>
        <v>53.488877079092873</v>
      </c>
      <c r="P60" s="33">
        <f t="shared" si="18"/>
        <v>51.414087536128349</v>
      </c>
      <c r="Q60" s="142">
        <f t="shared" si="18"/>
        <v>207.83035014451343</v>
      </c>
      <c r="R60" s="142">
        <f t="shared" si="18"/>
        <v>210.31785035258963</v>
      </c>
      <c r="S60" s="142">
        <f t="shared" si="18"/>
        <v>234.43159710001095</v>
      </c>
      <c r="T60" s="142">
        <f t="shared" si="18"/>
        <v>259.82152848507616</v>
      </c>
      <c r="U60" s="142">
        <f t="shared" si="18"/>
        <v>301.43004380463282</v>
      </c>
      <c r="V60" s="142">
        <f t="shared" si="18"/>
        <v>372.27395892212297</v>
      </c>
      <c r="X60" s="28"/>
      <c r="Y60" s="29"/>
    </row>
    <row r="61" spans="1:25" s="26" customFormat="1" ht="13.5" thickTop="1" x14ac:dyDescent="0.2">
      <c r="A61" s="32"/>
      <c r="B61" s="25"/>
      <c r="C61" s="152"/>
      <c r="D61" s="38"/>
      <c r="E61" s="38"/>
      <c r="F61" s="207"/>
      <c r="G61" s="38"/>
      <c r="H61" s="38"/>
      <c r="I61" s="38"/>
      <c r="J61" s="38"/>
      <c r="K61" s="38"/>
      <c r="L61" s="38"/>
      <c r="M61" s="38"/>
      <c r="N61" s="38"/>
      <c r="O61" s="38"/>
      <c r="P61" s="38"/>
      <c r="Q61" s="38"/>
      <c r="R61" s="38"/>
      <c r="S61" s="38"/>
      <c r="T61" s="38"/>
      <c r="U61" s="38"/>
      <c r="V61" s="38"/>
      <c r="X61" s="28"/>
      <c r="Y61" s="29"/>
    </row>
    <row r="62" spans="1:25" s="26" customFormat="1" x14ac:dyDescent="0.2">
      <c r="A62" s="32"/>
      <c r="B62" s="25"/>
      <c r="C62" s="152"/>
      <c r="D62" s="38"/>
      <c r="E62" s="38"/>
      <c r="F62" s="207"/>
      <c r="G62" s="38"/>
      <c r="H62" s="38"/>
      <c r="I62" s="38"/>
      <c r="J62" s="38"/>
      <c r="K62" s="38"/>
      <c r="L62" s="38"/>
      <c r="M62" s="38"/>
      <c r="N62" s="38"/>
      <c r="O62" s="38"/>
      <c r="P62" s="38"/>
      <c r="Q62" s="38"/>
      <c r="R62" s="38"/>
      <c r="S62" s="38"/>
      <c r="T62" s="38"/>
      <c r="U62" s="38"/>
      <c r="V62" s="38"/>
      <c r="X62" s="28"/>
      <c r="Y62" s="29"/>
    </row>
    <row r="63" spans="1:25" s="26" customFormat="1" x14ac:dyDescent="0.2">
      <c r="A63" s="32"/>
      <c r="B63" s="25"/>
      <c r="C63" s="152"/>
      <c r="D63" s="38"/>
      <c r="E63" s="38"/>
      <c r="F63" s="207"/>
      <c r="G63" s="38"/>
      <c r="H63" s="38"/>
      <c r="I63" s="38"/>
      <c r="J63" s="38"/>
      <c r="K63" s="38"/>
      <c r="L63" s="38"/>
      <c r="M63" s="38"/>
      <c r="N63" s="38"/>
      <c r="O63" s="38"/>
      <c r="P63" s="38"/>
      <c r="Q63" s="38"/>
      <c r="R63" s="38"/>
      <c r="S63" s="38"/>
      <c r="T63" s="38"/>
      <c r="U63" s="38"/>
      <c r="V63" s="38"/>
      <c r="X63" s="28"/>
      <c r="Y63" s="29"/>
    </row>
    <row r="64" spans="1:25" s="26" customFormat="1" x14ac:dyDescent="0.2">
      <c r="A64" s="32"/>
      <c r="B64" s="25"/>
      <c r="C64" s="152"/>
      <c r="D64" s="38"/>
      <c r="E64" s="38"/>
      <c r="F64" s="207"/>
      <c r="G64" s="38"/>
      <c r="H64" s="38"/>
      <c r="I64" s="38"/>
      <c r="J64" s="38"/>
      <c r="K64" s="38"/>
      <c r="L64" s="38"/>
      <c r="M64" s="38"/>
      <c r="N64" s="38"/>
      <c r="O64" s="38"/>
      <c r="P64" s="38"/>
      <c r="Q64" s="38"/>
      <c r="R64" s="38"/>
      <c r="S64" s="38"/>
      <c r="T64" s="38"/>
      <c r="U64" s="38"/>
      <c r="V64" s="38"/>
      <c r="X64" s="28"/>
      <c r="Y64" s="29"/>
    </row>
    <row r="65" spans="1:25" s="2" customFormat="1" x14ac:dyDescent="0.2">
      <c r="A65" s="31"/>
      <c r="B65" s="3"/>
      <c r="C65" s="145"/>
      <c r="D65" s="157"/>
      <c r="E65" s="157"/>
      <c r="F65" s="202"/>
      <c r="G65" s="12"/>
      <c r="H65" s="12"/>
      <c r="I65" s="12"/>
      <c r="J65" s="12"/>
      <c r="K65" s="12"/>
      <c r="L65" s="12"/>
      <c r="M65" s="12"/>
      <c r="N65" s="12"/>
      <c r="O65" s="12"/>
      <c r="P65" s="12"/>
      <c r="Q65" s="12"/>
      <c r="R65" s="12"/>
      <c r="S65" s="12"/>
      <c r="T65" s="12"/>
      <c r="U65" s="12"/>
      <c r="V65" s="12"/>
      <c r="X65" s="39" t="s">
        <v>55</v>
      </c>
      <c r="Y65" s="40" t="s">
        <v>49</v>
      </c>
    </row>
    <row r="66" spans="1:25" x14ac:dyDescent="0.2">
      <c r="B66" s="54" t="s">
        <v>22</v>
      </c>
      <c r="C66" s="4"/>
      <c r="D66" s="158"/>
      <c r="E66" s="193"/>
      <c r="F66" s="212"/>
      <c r="G66" s="14"/>
      <c r="H66" s="14"/>
      <c r="I66" s="14"/>
      <c r="J66" s="14"/>
      <c r="K66" s="14"/>
      <c r="L66" s="14"/>
      <c r="M66" s="14"/>
      <c r="N66" s="14"/>
      <c r="O66" s="14"/>
      <c r="P66" s="14"/>
      <c r="Q66" s="14"/>
      <c r="R66" s="14"/>
      <c r="S66" s="14"/>
      <c r="T66" s="14"/>
      <c r="U66" s="14"/>
      <c r="V66" s="14"/>
      <c r="X66" s="41" t="s">
        <v>22</v>
      </c>
      <c r="Y66" s="42" t="s">
        <v>48</v>
      </c>
    </row>
    <row r="67" spans="1:25" x14ac:dyDescent="0.2">
      <c r="A67" s="17" t="s">
        <v>42</v>
      </c>
      <c r="B67" s="1" t="s">
        <v>87</v>
      </c>
      <c r="C67" s="153">
        <v>250</v>
      </c>
      <c r="D67" s="158">
        <v>45</v>
      </c>
      <c r="E67" s="193">
        <v>25</v>
      </c>
      <c r="F67" s="212">
        <v>25</v>
      </c>
      <c r="G67" s="14">
        <v>25</v>
      </c>
      <c r="H67" s="14">
        <v>25</v>
      </c>
      <c r="I67" s="14">
        <f>250-(+D67+E67+F67+G67+H67)</f>
        <v>105</v>
      </c>
      <c r="J67" s="14"/>
      <c r="K67" s="14"/>
      <c r="L67" s="14"/>
      <c r="M67" s="14"/>
      <c r="N67" s="14"/>
      <c r="O67" s="14"/>
      <c r="P67" s="14"/>
      <c r="Q67" s="14"/>
      <c r="R67" s="14"/>
      <c r="S67" s="14"/>
      <c r="T67" s="14"/>
      <c r="U67" s="14"/>
      <c r="V67" s="14"/>
      <c r="X67" s="10">
        <f>+C67-D67-E67</f>
        <v>180</v>
      </c>
      <c r="Y67" s="5">
        <f>+X67*0.044</f>
        <v>7.92</v>
      </c>
    </row>
    <row r="68" spans="1:25" x14ac:dyDescent="0.2">
      <c r="A68" s="17" t="s">
        <v>42</v>
      </c>
      <c r="B68" s="1" t="s">
        <v>88</v>
      </c>
      <c r="C68" s="153">
        <v>16</v>
      </c>
      <c r="D68" s="158">
        <v>16</v>
      </c>
      <c r="E68" s="194">
        <v>-239</v>
      </c>
      <c r="F68" s="212"/>
      <c r="G68" s="14"/>
      <c r="H68" s="14"/>
      <c r="I68" s="36">
        <v>239</v>
      </c>
      <c r="J68" s="14"/>
      <c r="K68" s="14"/>
      <c r="L68" s="14"/>
      <c r="M68" s="143">
        <v>-150</v>
      </c>
      <c r="N68" s="14"/>
      <c r="O68" s="14"/>
      <c r="P68" s="143">
        <v>150</v>
      </c>
      <c r="Q68" s="14"/>
      <c r="R68" s="14"/>
      <c r="S68" s="14"/>
      <c r="T68" s="14"/>
      <c r="U68" s="14"/>
      <c r="V68" s="14"/>
      <c r="X68" s="10">
        <v>239</v>
      </c>
      <c r="Y68" s="5">
        <f>+X68*0.044</f>
        <v>10.516</v>
      </c>
    </row>
    <row r="69" spans="1:25" x14ac:dyDescent="0.2">
      <c r="A69" s="17" t="s">
        <v>42</v>
      </c>
      <c r="B69" s="1" t="s">
        <v>25</v>
      </c>
      <c r="C69" s="153">
        <v>35</v>
      </c>
      <c r="D69" s="158">
        <v>35</v>
      </c>
      <c r="E69" s="193"/>
      <c r="F69" s="212"/>
      <c r="G69" s="14"/>
      <c r="H69" s="14"/>
      <c r="I69" s="14"/>
      <c r="J69" s="14"/>
      <c r="K69" s="14"/>
      <c r="L69" s="14"/>
      <c r="M69" s="14"/>
      <c r="N69" s="14"/>
      <c r="O69" s="14"/>
      <c r="P69" s="14"/>
      <c r="Q69" s="14"/>
      <c r="R69" s="14"/>
      <c r="S69" s="14"/>
      <c r="T69" s="14"/>
      <c r="U69" s="14"/>
      <c r="V69" s="14"/>
      <c r="X69" s="10">
        <f>+C69-D69</f>
        <v>0</v>
      </c>
    </row>
    <row r="70" spans="1:25" x14ac:dyDescent="0.2">
      <c r="A70" s="17"/>
      <c r="B70" s="1" t="s">
        <v>114</v>
      </c>
      <c r="C70" s="153"/>
      <c r="D70" s="158"/>
      <c r="E70" s="193">
        <v>0.3</v>
      </c>
      <c r="F70" s="212"/>
      <c r="G70" s="14"/>
      <c r="H70" s="14"/>
      <c r="I70" s="14"/>
      <c r="J70" s="14"/>
      <c r="K70" s="14"/>
      <c r="L70" s="14"/>
      <c r="M70" s="14"/>
      <c r="N70" s="14"/>
      <c r="O70" s="14"/>
      <c r="P70" s="14"/>
      <c r="Q70" s="14"/>
      <c r="R70" s="14"/>
      <c r="S70" s="14"/>
      <c r="T70" s="14"/>
      <c r="U70" s="14"/>
      <c r="V70" s="14"/>
    </row>
    <row r="71" spans="1:25" x14ac:dyDescent="0.2">
      <c r="A71" s="17" t="s">
        <v>42</v>
      </c>
      <c r="B71" s="102" t="s">
        <v>34</v>
      </c>
      <c r="C71" s="154">
        <f>+X71</f>
        <v>184</v>
      </c>
      <c r="D71" s="158"/>
      <c r="E71" s="193"/>
      <c r="F71" s="212"/>
      <c r="G71" s="14"/>
      <c r="H71" s="14"/>
      <c r="I71" s="14"/>
      <c r="J71" s="14"/>
      <c r="K71" s="14"/>
      <c r="L71" s="14"/>
      <c r="M71" s="14"/>
      <c r="N71" s="14"/>
      <c r="O71" s="14"/>
      <c r="P71" s="14"/>
      <c r="Q71" s="14"/>
      <c r="R71" s="14"/>
      <c r="S71" s="14">
        <v>184</v>
      </c>
      <c r="T71" s="14"/>
      <c r="U71" s="14"/>
      <c r="V71" s="14"/>
      <c r="X71" s="10">
        <f t="shared" ref="X71:X80" si="19">SUM(D71:W71)</f>
        <v>184</v>
      </c>
      <c r="Y71" s="5">
        <f>+X71*0.0625</f>
        <v>11.5</v>
      </c>
    </row>
    <row r="72" spans="1:25" x14ac:dyDescent="0.2">
      <c r="A72" s="17" t="s">
        <v>42</v>
      </c>
      <c r="B72" s="19" t="s">
        <v>14</v>
      </c>
      <c r="C72" s="153"/>
      <c r="D72" s="158"/>
      <c r="E72" s="193"/>
      <c r="F72" s="212"/>
      <c r="G72" s="14"/>
      <c r="H72" s="14"/>
      <c r="I72" s="14"/>
      <c r="J72" s="14"/>
      <c r="K72" s="14"/>
      <c r="L72" s="14"/>
      <c r="M72" s="14"/>
      <c r="N72" s="14"/>
      <c r="O72" s="14"/>
      <c r="P72" s="14"/>
      <c r="Q72" s="14"/>
      <c r="R72" s="14"/>
      <c r="S72" s="14"/>
      <c r="T72" s="14"/>
      <c r="U72" s="14"/>
      <c r="V72" s="14"/>
    </row>
    <row r="73" spans="1:25" x14ac:dyDescent="0.2">
      <c r="A73" s="17" t="s">
        <v>42</v>
      </c>
      <c r="B73" s="7" t="s">
        <v>27</v>
      </c>
      <c r="C73" s="154">
        <v>130</v>
      </c>
      <c r="D73" s="158"/>
      <c r="E73" s="193"/>
      <c r="F73" s="212"/>
      <c r="G73" s="14"/>
      <c r="H73" s="14"/>
      <c r="I73" s="14"/>
      <c r="J73" s="14"/>
      <c r="K73" s="14">
        <v>130</v>
      </c>
      <c r="L73" s="14"/>
      <c r="M73" s="14"/>
      <c r="N73" s="14"/>
      <c r="O73" s="14"/>
      <c r="P73" s="14"/>
      <c r="Q73" s="14"/>
      <c r="R73" s="14"/>
      <c r="S73" s="14"/>
      <c r="T73" s="14"/>
      <c r="U73" s="14"/>
      <c r="V73" s="14"/>
      <c r="X73" s="10">
        <f t="shared" si="19"/>
        <v>130</v>
      </c>
      <c r="Y73" s="5">
        <f>+X73*0.065</f>
        <v>8.4500000000000011</v>
      </c>
    </row>
    <row r="74" spans="1:25" x14ac:dyDescent="0.2">
      <c r="A74" s="17" t="s">
        <v>42</v>
      </c>
      <c r="B74" s="1" t="s">
        <v>26</v>
      </c>
      <c r="C74" s="154">
        <v>125</v>
      </c>
      <c r="D74" s="158"/>
      <c r="E74" s="193"/>
      <c r="F74" s="212"/>
      <c r="G74" s="14"/>
      <c r="H74" s="14"/>
      <c r="I74" s="14"/>
      <c r="J74" s="14"/>
      <c r="K74" s="14"/>
      <c r="L74" s="14">
        <v>125</v>
      </c>
      <c r="M74" s="14"/>
      <c r="N74" s="14"/>
      <c r="O74" s="14"/>
      <c r="P74" s="14"/>
      <c r="Q74" s="14"/>
      <c r="R74" s="14"/>
      <c r="S74" s="14"/>
      <c r="T74" s="14"/>
      <c r="U74" s="14"/>
      <c r="V74" s="14"/>
      <c r="X74" s="10">
        <f t="shared" si="19"/>
        <v>125</v>
      </c>
      <c r="Y74" s="5">
        <f>+X74*0.0685</f>
        <v>8.5625</v>
      </c>
    </row>
    <row r="75" spans="1:25" x14ac:dyDescent="0.2">
      <c r="A75" s="17" t="s">
        <v>42</v>
      </c>
      <c r="B75" s="1" t="s">
        <v>28</v>
      </c>
      <c r="C75" s="154">
        <v>255</v>
      </c>
      <c r="D75" s="158"/>
      <c r="E75" s="193"/>
      <c r="F75" s="212"/>
      <c r="G75" s="14"/>
      <c r="H75" s="14"/>
      <c r="I75" s="14"/>
      <c r="J75" s="14"/>
      <c r="K75" s="14"/>
      <c r="L75" s="14"/>
      <c r="M75" s="14"/>
      <c r="N75" s="14">
        <v>255</v>
      </c>
      <c r="O75" s="14"/>
      <c r="P75" s="14"/>
      <c r="Q75" s="14"/>
      <c r="R75" s="14"/>
      <c r="S75" s="14"/>
      <c r="T75" s="14"/>
      <c r="U75" s="14"/>
      <c r="V75" s="14"/>
      <c r="X75" s="10">
        <f t="shared" si="19"/>
        <v>255</v>
      </c>
      <c r="Y75" s="5">
        <f>+X75*0.0571</f>
        <v>14.560499999999999</v>
      </c>
    </row>
    <row r="76" spans="1:25" x14ac:dyDescent="0.2">
      <c r="A76" s="17" t="s">
        <v>42</v>
      </c>
      <c r="B76" s="1" t="s">
        <v>29</v>
      </c>
      <c r="C76" s="154">
        <v>138</v>
      </c>
      <c r="D76" s="158"/>
      <c r="E76" s="193"/>
      <c r="F76" s="212"/>
      <c r="G76" s="14"/>
      <c r="H76" s="14"/>
      <c r="I76" s="14"/>
      <c r="J76" s="14"/>
      <c r="K76" s="14"/>
      <c r="L76" s="14"/>
      <c r="M76" s="14"/>
      <c r="N76" s="14"/>
      <c r="O76" s="14"/>
      <c r="P76" s="14"/>
      <c r="Q76" s="14">
        <v>138</v>
      </c>
      <c r="R76" s="14"/>
      <c r="S76" s="14"/>
      <c r="T76" s="14"/>
      <c r="U76" s="14"/>
      <c r="V76" s="14"/>
      <c r="X76" s="10">
        <f t="shared" si="19"/>
        <v>138</v>
      </c>
      <c r="Y76" s="5">
        <f>+X76*0.073</f>
        <v>10.074</v>
      </c>
    </row>
    <row r="77" spans="1:25" x14ac:dyDescent="0.2">
      <c r="A77" s="17" t="s">
        <v>42</v>
      </c>
      <c r="B77" s="1" t="s">
        <v>30</v>
      </c>
      <c r="C77" s="154">
        <v>320</v>
      </c>
      <c r="D77" s="158"/>
      <c r="E77" s="193"/>
      <c r="F77" s="212"/>
      <c r="G77" s="14"/>
      <c r="H77" s="14"/>
      <c r="I77" s="14"/>
      <c r="J77" s="14"/>
      <c r="K77" s="14"/>
      <c r="L77" s="14"/>
      <c r="M77" s="14"/>
      <c r="N77" s="14"/>
      <c r="O77" s="14"/>
      <c r="P77" s="14"/>
      <c r="Q77" s="14"/>
      <c r="R77" s="14">
        <v>320</v>
      </c>
      <c r="S77" s="14"/>
      <c r="T77" s="14"/>
      <c r="U77" s="14"/>
      <c r="V77" s="14"/>
      <c r="X77" s="10">
        <f t="shared" si="19"/>
        <v>320</v>
      </c>
      <c r="Y77" s="5">
        <f>+X77*0.0525</f>
        <v>16.8</v>
      </c>
    </row>
    <row r="78" spans="1:25" x14ac:dyDescent="0.2">
      <c r="A78" s="17" t="s">
        <v>42</v>
      </c>
      <c r="B78" s="1" t="s">
        <v>31</v>
      </c>
      <c r="C78" s="154">
        <v>121</v>
      </c>
      <c r="D78" s="158"/>
      <c r="E78" s="193"/>
      <c r="F78" s="212"/>
      <c r="G78" s="14"/>
      <c r="H78" s="14"/>
      <c r="I78" s="14"/>
      <c r="J78" s="14"/>
      <c r="K78" s="14"/>
      <c r="L78" s="14"/>
      <c r="M78" s="14"/>
      <c r="N78" s="14"/>
      <c r="O78" s="14"/>
      <c r="P78" s="14"/>
      <c r="Q78" s="14"/>
      <c r="R78" s="14"/>
      <c r="S78" s="14"/>
      <c r="T78" s="14"/>
      <c r="U78" s="14">
        <v>121</v>
      </c>
      <c r="V78" s="14"/>
      <c r="X78" s="10">
        <f t="shared" si="19"/>
        <v>121</v>
      </c>
      <c r="Y78" s="5">
        <f>+X78*0.0585</f>
        <v>7.0785</v>
      </c>
    </row>
    <row r="79" spans="1:25" x14ac:dyDescent="0.2">
      <c r="A79" s="17" t="s">
        <v>42</v>
      </c>
      <c r="B79" s="1" t="s">
        <v>32</v>
      </c>
      <c r="C79" s="154">
        <v>300</v>
      </c>
      <c r="D79" s="158"/>
      <c r="E79" s="193"/>
      <c r="F79" s="212"/>
      <c r="G79" s="14"/>
      <c r="H79" s="14"/>
      <c r="I79" s="14"/>
      <c r="J79" s="14"/>
      <c r="K79" s="14"/>
      <c r="L79" s="14"/>
      <c r="M79" s="14"/>
      <c r="N79" s="14"/>
      <c r="O79" s="14"/>
      <c r="P79" s="14"/>
      <c r="Q79" s="14"/>
      <c r="R79" s="14"/>
      <c r="S79" s="14"/>
      <c r="T79" s="14"/>
      <c r="U79" s="14"/>
      <c r="V79" s="14">
        <v>300</v>
      </c>
      <c r="X79" s="10">
        <f t="shared" si="19"/>
        <v>300</v>
      </c>
      <c r="Y79" s="5">
        <f>+X79*0.0775</f>
        <v>23.25</v>
      </c>
    </row>
    <row r="80" spans="1:25" x14ac:dyDescent="0.2">
      <c r="A80" s="17" t="s">
        <v>42</v>
      </c>
      <c r="B80" s="1" t="s">
        <v>33</v>
      </c>
      <c r="C80" s="154">
        <v>17</v>
      </c>
      <c r="D80" s="158"/>
      <c r="E80" s="193"/>
      <c r="F80" s="212"/>
      <c r="G80" s="14"/>
      <c r="H80" s="14"/>
      <c r="I80" s="14"/>
      <c r="J80" s="14"/>
      <c r="K80" s="14"/>
      <c r="L80" s="14"/>
      <c r="M80" s="14"/>
      <c r="N80" s="14"/>
      <c r="O80" s="14"/>
      <c r="P80" s="14"/>
      <c r="Q80" s="14"/>
      <c r="R80" s="14"/>
      <c r="S80" s="14"/>
      <c r="T80" s="14"/>
      <c r="U80" s="14"/>
      <c r="V80" s="14">
        <v>17</v>
      </c>
      <c r="X80" s="10">
        <f t="shared" si="19"/>
        <v>17</v>
      </c>
      <c r="Y80" s="5">
        <f>+X80*0.0625</f>
        <v>1.0625</v>
      </c>
    </row>
    <row r="81" spans="1:25" x14ac:dyDescent="0.2">
      <c r="B81" s="19" t="s">
        <v>69</v>
      </c>
      <c r="C81" s="35">
        <f>SUM(C67:C80)</f>
        <v>1891</v>
      </c>
      <c r="D81" s="158"/>
      <c r="E81" s="193"/>
      <c r="F81" s="212"/>
      <c r="G81" s="14"/>
      <c r="H81" s="14"/>
      <c r="I81" s="14"/>
      <c r="J81" s="14"/>
      <c r="K81" s="14"/>
      <c r="L81" s="14"/>
      <c r="M81" s="14"/>
      <c r="N81" s="14"/>
      <c r="O81" s="14"/>
      <c r="P81" s="14"/>
      <c r="Q81" s="14"/>
      <c r="R81" s="14"/>
      <c r="S81" s="14"/>
      <c r="T81" s="14"/>
      <c r="U81" s="14"/>
      <c r="V81" s="14"/>
    </row>
    <row r="82" spans="1:25" s="16" customFormat="1" ht="13.5" thickBot="1" x14ac:dyDescent="0.25">
      <c r="A82" s="17" t="s">
        <v>45</v>
      </c>
      <c r="B82" s="16" t="s">
        <v>53</v>
      </c>
      <c r="C82" s="155" t="s">
        <v>51</v>
      </c>
      <c r="D82" s="118">
        <f t="shared" ref="D82:R82" si="20">-SUM(D65:D81)+D60</f>
        <v>84.150500000000022</v>
      </c>
      <c r="E82" s="195">
        <f t="shared" si="20"/>
        <v>225.89449999999999</v>
      </c>
      <c r="F82" s="213">
        <f t="shared" si="20"/>
        <v>65.456666666666635</v>
      </c>
      <c r="G82" s="118">
        <f t="shared" si="20"/>
        <v>44.332202666666674</v>
      </c>
      <c r="H82" s="118">
        <f t="shared" si="20"/>
        <v>40.034237508666678</v>
      </c>
      <c r="I82" s="118">
        <f t="shared" si="20"/>
        <v>-297.05992745242298</v>
      </c>
      <c r="J82" s="118">
        <f t="shared" si="20"/>
        <v>58.130186103715204</v>
      </c>
      <c r="K82" s="118">
        <f t="shared" si="20"/>
        <v>-73.530191732345941</v>
      </c>
      <c r="L82" s="118">
        <f t="shared" si="20"/>
        <v>-69.317629965968962</v>
      </c>
      <c r="M82" s="118">
        <f t="shared" si="20"/>
        <v>191.49210711261588</v>
      </c>
      <c r="N82" s="118">
        <f t="shared" si="20"/>
        <v>-199.27374364215513</v>
      </c>
      <c r="O82" s="118">
        <f t="shared" si="20"/>
        <v>53.488877079092873</v>
      </c>
      <c r="P82" s="118">
        <f t="shared" si="20"/>
        <v>-98.585912463871651</v>
      </c>
      <c r="Q82" s="118">
        <f t="shared" si="20"/>
        <v>69.830350144513432</v>
      </c>
      <c r="R82" s="118">
        <f t="shared" si="20"/>
        <v>-109.68214964741037</v>
      </c>
      <c r="S82" s="118">
        <f>-SUM(S65:S81)+S60</f>
        <v>50.431597100010947</v>
      </c>
      <c r="T82" s="118">
        <f>-SUM(T65:T81)+T60</f>
        <v>259.82152848507616</v>
      </c>
      <c r="U82" s="118">
        <f>-SUM(U65:U81)+U60</f>
        <v>180.43004380463282</v>
      </c>
      <c r="V82" s="118">
        <f>-SUM(V65:V81)+V60</f>
        <v>55.273958922122972</v>
      </c>
      <c r="W82" s="35"/>
      <c r="X82" s="57">
        <f>SUM(X65:X81)</f>
        <v>2009</v>
      </c>
      <c r="Y82" s="57">
        <f>SUM(Y65:Y81)</f>
        <v>119.774</v>
      </c>
    </row>
    <row r="83" spans="1:25" ht="14.25" thickTop="1" thickBot="1" x14ac:dyDescent="0.25">
      <c r="C83" s="4"/>
      <c r="D83" s="158"/>
      <c r="E83" s="193"/>
      <c r="F83" s="212"/>
      <c r="G83" s="14"/>
      <c r="H83" s="14"/>
      <c r="I83" s="14"/>
      <c r="J83" s="14"/>
      <c r="K83" s="14"/>
      <c r="L83" s="14"/>
      <c r="M83" s="14"/>
      <c r="N83" s="14"/>
      <c r="O83" s="14"/>
      <c r="P83" s="14"/>
      <c r="Q83" s="14"/>
      <c r="R83" s="14"/>
      <c r="S83" s="14"/>
      <c r="T83" s="14"/>
      <c r="U83" s="14"/>
      <c r="V83" s="14"/>
      <c r="W83" s="4"/>
    </row>
    <row r="84" spans="1:25" s="16" customFormat="1" ht="13.5" thickBot="1" x14ac:dyDescent="0.25">
      <c r="A84" s="115" t="s">
        <v>52</v>
      </c>
      <c r="B84" s="116" t="s">
        <v>23</v>
      </c>
      <c r="C84" s="156"/>
      <c r="D84" s="140">
        <f>+D82</f>
        <v>84.150500000000022</v>
      </c>
      <c r="E84" s="140">
        <f>+D84+E82</f>
        <v>310.04500000000002</v>
      </c>
      <c r="F84" s="214">
        <f t="shared" ref="F84:R84" si="21">+E84+F82</f>
        <v>375.50166666666667</v>
      </c>
      <c r="G84" s="120">
        <f t="shared" si="21"/>
        <v>419.83386933333333</v>
      </c>
      <c r="H84" s="120">
        <f t="shared" si="21"/>
        <v>459.86810684199997</v>
      </c>
      <c r="I84" s="120">
        <f t="shared" si="21"/>
        <v>162.80817938957699</v>
      </c>
      <c r="J84" s="120">
        <f t="shared" si="21"/>
        <v>220.9383654932922</v>
      </c>
      <c r="K84" s="120">
        <f t="shared" si="21"/>
        <v>147.40817376094626</v>
      </c>
      <c r="L84" s="121">
        <f t="shared" si="21"/>
        <v>78.090543794977293</v>
      </c>
      <c r="M84" s="120">
        <f t="shared" si="21"/>
        <v>269.58265090759318</v>
      </c>
      <c r="N84" s="121">
        <f t="shared" si="21"/>
        <v>70.308907265438052</v>
      </c>
      <c r="O84" s="120">
        <f t="shared" si="21"/>
        <v>123.79778434453092</v>
      </c>
      <c r="P84" s="120">
        <f t="shared" si="21"/>
        <v>25.211871880659274</v>
      </c>
      <c r="Q84" s="120">
        <f t="shared" si="21"/>
        <v>95.042222025172705</v>
      </c>
      <c r="R84" s="121">
        <f t="shared" si="21"/>
        <v>-14.639927622237664</v>
      </c>
      <c r="S84" s="140">
        <f>+R84+S82</f>
        <v>35.791669477773283</v>
      </c>
      <c r="T84" s="140">
        <f>+S84+T82</f>
        <v>295.61319796284943</v>
      </c>
      <c r="U84" s="140">
        <f>+T84+U82</f>
        <v>476.04324176748224</v>
      </c>
      <c r="V84" s="140">
        <f>+U84+V82</f>
        <v>531.31720068960522</v>
      </c>
      <c r="W84" s="35"/>
      <c r="X84" s="37"/>
      <c r="Y84" s="18"/>
    </row>
    <row r="85" spans="1:25" s="176" customFormat="1" x14ac:dyDescent="0.2">
      <c r="A85" s="32"/>
      <c r="C85" s="216"/>
      <c r="D85" s="215"/>
      <c r="E85" s="215"/>
      <c r="F85" s="215"/>
      <c r="G85" s="217"/>
      <c r="H85" s="217"/>
      <c r="I85" s="217"/>
      <c r="J85" s="217"/>
      <c r="K85" s="217"/>
      <c r="L85" s="215"/>
      <c r="M85" s="217"/>
      <c r="N85" s="215"/>
      <c r="O85" s="217"/>
      <c r="P85" s="217"/>
      <c r="Q85" s="217"/>
      <c r="R85" s="215"/>
      <c r="S85" s="215"/>
      <c r="T85" s="215"/>
      <c r="U85" s="215"/>
      <c r="V85" s="215"/>
      <c r="W85" s="216"/>
      <c r="X85" s="218"/>
      <c r="Y85" s="219"/>
    </row>
    <row r="86" spans="1:25" s="220" customFormat="1" ht="15.75" x14ac:dyDescent="0.25">
      <c r="A86" s="221"/>
      <c r="B86" s="223" t="s">
        <v>128</v>
      </c>
      <c r="C86" s="224"/>
      <c r="D86" s="224">
        <f>-SUM(D66:D80)</f>
        <v>-96</v>
      </c>
      <c r="E86" s="224">
        <f t="shared" ref="E86:V86" si="22">-SUM(E66:E80)</f>
        <v>213.7</v>
      </c>
      <c r="F86" s="224">
        <f t="shared" si="22"/>
        <v>-25</v>
      </c>
      <c r="G86" s="224">
        <f t="shared" si="22"/>
        <v>-25</v>
      </c>
      <c r="H86" s="224">
        <f t="shared" si="22"/>
        <v>-25</v>
      </c>
      <c r="I86" s="224">
        <f t="shared" si="22"/>
        <v>-344</v>
      </c>
      <c r="J86" s="224">
        <f t="shared" si="22"/>
        <v>0</v>
      </c>
      <c r="K86" s="224">
        <f t="shared" si="22"/>
        <v>-130</v>
      </c>
      <c r="L86" s="224">
        <f t="shared" si="22"/>
        <v>-125</v>
      </c>
      <c r="M86" s="224">
        <f t="shared" si="22"/>
        <v>150</v>
      </c>
      <c r="N86" s="224">
        <f t="shared" si="22"/>
        <v>-255</v>
      </c>
      <c r="O86" s="224">
        <f t="shared" si="22"/>
        <v>0</v>
      </c>
      <c r="P86" s="224">
        <f t="shared" si="22"/>
        <v>-150</v>
      </c>
      <c r="Q86" s="224">
        <f t="shared" si="22"/>
        <v>-138</v>
      </c>
      <c r="R86" s="224">
        <f t="shared" si="22"/>
        <v>-320</v>
      </c>
      <c r="S86" s="224">
        <f t="shared" si="22"/>
        <v>-184</v>
      </c>
      <c r="T86" s="224">
        <f t="shared" si="22"/>
        <v>0</v>
      </c>
      <c r="U86" s="224">
        <f t="shared" si="22"/>
        <v>-121</v>
      </c>
      <c r="V86" s="225">
        <f t="shared" si="22"/>
        <v>-317</v>
      </c>
      <c r="W86" s="222"/>
      <c r="X86" s="226"/>
      <c r="Y86" s="227"/>
    </row>
    <row r="87" spans="1:25" s="232" customFormat="1" ht="15.75" x14ac:dyDescent="0.25">
      <c r="A87" s="228"/>
      <c r="B87" s="223" t="s">
        <v>127</v>
      </c>
      <c r="C87" s="224">
        <v>1891</v>
      </c>
      <c r="D87" s="224">
        <f>+C87+D86</f>
        <v>1795</v>
      </c>
      <c r="E87" s="224">
        <f t="shared" ref="E87:V87" si="23">+D87+E86</f>
        <v>2008.7</v>
      </c>
      <c r="F87" s="224">
        <f t="shared" si="23"/>
        <v>1983.7</v>
      </c>
      <c r="G87" s="224">
        <f t="shared" si="23"/>
        <v>1958.7</v>
      </c>
      <c r="H87" s="224">
        <f t="shared" si="23"/>
        <v>1933.7</v>
      </c>
      <c r="I87" s="224">
        <f t="shared" si="23"/>
        <v>1589.7</v>
      </c>
      <c r="J87" s="224">
        <f t="shared" si="23"/>
        <v>1589.7</v>
      </c>
      <c r="K87" s="224">
        <f t="shared" si="23"/>
        <v>1459.7</v>
      </c>
      <c r="L87" s="224">
        <f t="shared" si="23"/>
        <v>1334.7</v>
      </c>
      <c r="M87" s="224">
        <f t="shared" si="23"/>
        <v>1484.7</v>
      </c>
      <c r="N87" s="224">
        <f t="shared" si="23"/>
        <v>1229.7</v>
      </c>
      <c r="O87" s="224">
        <f t="shared" si="23"/>
        <v>1229.7</v>
      </c>
      <c r="P87" s="224">
        <f t="shared" si="23"/>
        <v>1079.7</v>
      </c>
      <c r="Q87" s="224">
        <f t="shared" si="23"/>
        <v>941.7</v>
      </c>
      <c r="R87" s="224">
        <f t="shared" si="23"/>
        <v>621.70000000000005</v>
      </c>
      <c r="S87" s="224">
        <f t="shared" si="23"/>
        <v>437.70000000000005</v>
      </c>
      <c r="T87" s="224">
        <f t="shared" si="23"/>
        <v>437.70000000000005</v>
      </c>
      <c r="U87" s="224">
        <f t="shared" si="23"/>
        <v>316.70000000000005</v>
      </c>
      <c r="V87" s="225">
        <f t="shared" si="23"/>
        <v>-0.29999999999995453</v>
      </c>
      <c r="W87" s="229"/>
      <c r="X87" s="230"/>
      <c r="Y87" s="231"/>
    </row>
    <row r="88" spans="1:25" s="16" customFormat="1" x14ac:dyDescent="0.2">
      <c r="A88" s="17"/>
      <c r="B88" s="123" t="s">
        <v>104</v>
      </c>
      <c r="C88" s="124"/>
      <c r="D88" s="125"/>
      <c r="E88" s="125">
        <f>+((+G97+G98+G99)/4)</f>
        <v>5.5473750000000006</v>
      </c>
      <c r="F88" s="125">
        <f>+E88+5.6</f>
        <v>11.147375</v>
      </c>
      <c r="G88" s="125"/>
      <c r="H88" s="125"/>
      <c r="I88" s="125"/>
      <c r="J88" s="125"/>
      <c r="K88" s="125"/>
      <c r="L88" s="125"/>
      <c r="M88" s="125"/>
      <c r="N88" s="125"/>
      <c r="O88" s="125"/>
      <c r="P88" s="125"/>
      <c r="Q88" s="125"/>
      <c r="R88" s="125"/>
      <c r="S88" s="125"/>
      <c r="T88" s="125"/>
      <c r="U88" s="125"/>
      <c r="V88" s="126"/>
      <c r="W88" s="35"/>
      <c r="X88" s="37"/>
      <c r="Y88" s="18"/>
    </row>
    <row r="89" spans="1:25" s="16" customFormat="1" x14ac:dyDescent="0.2">
      <c r="A89" s="17"/>
      <c r="D89" s="105"/>
      <c r="E89" s="36"/>
      <c r="F89" s="36"/>
      <c r="G89" s="36"/>
      <c r="H89" s="36"/>
      <c r="I89" s="36"/>
      <c r="J89" s="36"/>
      <c r="K89" s="36"/>
      <c r="L89" s="105"/>
      <c r="M89" s="36"/>
      <c r="N89" s="105"/>
      <c r="O89" s="36"/>
      <c r="P89" s="36"/>
      <c r="Q89" s="36"/>
      <c r="R89" s="36"/>
      <c r="S89" s="36"/>
      <c r="T89" s="36"/>
      <c r="U89" s="36"/>
      <c r="V89" s="36"/>
      <c r="W89" s="35"/>
      <c r="X89" s="37"/>
      <c r="Y89" s="18"/>
    </row>
    <row r="90" spans="1:25" x14ac:dyDescent="0.2">
      <c r="B90" s="55" t="s">
        <v>50</v>
      </c>
    </row>
    <row r="91" spans="1:25" x14ac:dyDescent="0.2">
      <c r="B91" s="55"/>
      <c r="U91" t="s">
        <v>95</v>
      </c>
    </row>
    <row r="92" spans="1:25" x14ac:dyDescent="0.2">
      <c r="B92" s="55"/>
      <c r="U92" t="s">
        <v>96</v>
      </c>
      <c r="W92" t="s">
        <v>124</v>
      </c>
      <c r="X92" s="10">
        <f>-310-X93</f>
        <v>-71</v>
      </c>
    </row>
    <row r="93" spans="1:25" x14ac:dyDescent="0.2">
      <c r="B93" s="55"/>
      <c r="D93" s="89"/>
      <c r="E93" s="90" t="s">
        <v>66</v>
      </c>
      <c r="F93" s="91"/>
      <c r="G93" s="92"/>
      <c r="W93" t="s">
        <v>98</v>
      </c>
      <c r="X93" s="10">
        <v>-239</v>
      </c>
    </row>
    <row r="94" spans="1:25" x14ac:dyDescent="0.2">
      <c r="B94" s="55"/>
      <c r="D94" s="62" t="s">
        <v>24</v>
      </c>
      <c r="E94" s="88" t="s">
        <v>94</v>
      </c>
      <c r="F94" s="63" t="s">
        <v>93</v>
      </c>
      <c r="G94" s="63" t="s">
        <v>19</v>
      </c>
      <c r="I94" s="236" t="s">
        <v>37</v>
      </c>
      <c r="J94" s="236" t="s">
        <v>129</v>
      </c>
      <c r="U94" t="s">
        <v>100</v>
      </c>
      <c r="X94" s="10">
        <v>-184</v>
      </c>
    </row>
    <row r="95" spans="1:25" ht="13.5" thickBot="1" x14ac:dyDescent="0.25">
      <c r="B95" s="55"/>
      <c r="C95" s="6" t="s">
        <v>15</v>
      </c>
      <c r="D95" s="6">
        <v>1</v>
      </c>
      <c r="E95" s="14">
        <v>251.1</v>
      </c>
      <c r="F95" s="5">
        <v>10.045871999999999</v>
      </c>
      <c r="G95" s="5">
        <f>10*25*0.0425</f>
        <v>10.625</v>
      </c>
      <c r="I95" s="234">
        <f>+G95/F95</f>
        <v>1.0576483554638165</v>
      </c>
      <c r="J95" s="235">
        <f>+I95/4</f>
        <v>0.26441208886595413</v>
      </c>
      <c r="U95" t="s">
        <v>99</v>
      </c>
      <c r="X95" s="93">
        <f>SUM(X82:X94)</f>
        <v>1515</v>
      </c>
    </row>
    <row r="96" spans="1:25" ht="13.5" thickTop="1" x14ac:dyDescent="0.2">
      <c r="B96" s="55"/>
      <c r="C96" s="6" t="s">
        <v>40</v>
      </c>
      <c r="D96" s="6">
        <v>2</v>
      </c>
      <c r="E96" s="14">
        <v>151.6</v>
      </c>
      <c r="F96" s="5">
        <v>6.0621280000000004</v>
      </c>
      <c r="G96" s="5">
        <f>6*1.25</f>
        <v>7.5</v>
      </c>
      <c r="I96" s="234">
        <f>+G96/F96</f>
        <v>1.2371893170187103</v>
      </c>
      <c r="J96" s="235">
        <f>+I96/4</f>
        <v>0.30929732925467757</v>
      </c>
    </row>
    <row r="97" spans="2:25" ht="13.5" thickBot="1" x14ac:dyDescent="0.25">
      <c r="B97" s="55"/>
      <c r="C97" s="6" t="s">
        <v>41</v>
      </c>
      <c r="D97" s="6">
        <v>3</v>
      </c>
      <c r="E97" s="14">
        <f>203</f>
        <v>203</v>
      </c>
      <c r="F97" s="5">
        <v>8.1209000000000007</v>
      </c>
      <c r="G97" s="5">
        <f>203*0.0675</f>
        <v>13.702500000000001</v>
      </c>
      <c r="I97" s="234">
        <f>+G97/F97</f>
        <v>1.687312982551195</v>
      </c>
      <c r="J97" s="235">
        <f>+I97/4</f>
        <v>0.42182824563779875</v>
      </c>
    </row>
    <row r="98" spans="2:25" ht="18.75" thickBot="1" x14ac:dyDescent="0.3">
      <c r="C98" s="6" t="s">
        <v>42</v>
      </c>
      <c r="D98" s="6">
        <v>5</v>
      </c>
      <c r="E98" s="14">
        <f>123</f>
        <v>123</v>
      </c>
      <c r="F98" s="5">
        <v>4.9199200000000003</v>
      </c>
      <c r="G98" s="5">
        <f>123*0.069</f>
        <v>8.4870000000000001</v>
      </c>
      <c r="I98" s="234">
        <f>+G98/F98</f>
        <v>1.7250280492365728</v>
      </c>
      <c r="J98" s="235">
        <f>+I98/4</f>
        <v>0.43125701230914321</v>
      </c>
      <c r="S98" s="19" t="s">
        <v>68</v>
      </c>
      <c r="T98" s="102" t="s">
        <v>58</v>
      </c>
      <c r="U98" t="s">
        <v>57</v>
      </c>
      <c r="V98" s="14">
        <f>(+$E$23+$F$23)*2*0+146.1*4</f>
        <v>584.4</v>
      </c>
      <c r="W98" s="17" t="s">
        <v>67</v>
      </c>
      <c r="X98" s="71">
        <f>+X95/+(V98)</f>
        <v>2.5924024640657084</v>
      </c>
    </row>
    <row r="99" spans="2:25" x14ac:dyDescent="0.2">
      <c r="D99" s="6"/>
      <c r="E99" s="14"/>
      <c r="F99" s="5"/>
      <c r="G99" s="5"/>
      <c r="I99" s="234"/>
      <c r="J99" s="235"/>
      <c r="S99" s="1"/>
      <c r="T99" s="1"/>
      <c r="X99" s="56"/>
    </row>
    <row r="100" spans="2:25" ht="13.5" thickBot="1" x14ac:dyDescent="0.25">
      <c r="E100" s="14"/>
      <c r="X100" s="1" t="s">
        <v>62</v>
      </c>
      <c r="Y100" s="58">
        <f>+Y82*0.5</f>
        <v>59.887</v>
      </c>
    </row>
    <row r="101" spans="2:25" ht="18.75" thickBot="1" x14ac:dyDescent="0.3">
      <c r="D101" s="16" t="s">
        <v>37</v>
      </c>
      <c r="E101" s="34">
        <f>SUM(E95:E100)</f>
        <v>728.7</v>
      </c>
      <c r="F101" s="59">
        <f>SUM(F95:F100)</f>
        <v>29.148820000000004</v>
      </c>
      <c r="G101" s="59">
        <f>SUM(G95:G100)</f>
        <v>40.314500000000002</v>
      </c>
      <c r="S101" s="19" t="s">
        <v>59</v>
      </c>
      <c r="T101" s="102" t="s">
        <v>58</v>
      </c>
      <c r="U101" t="s">
        <v>57</v>
      </c>
      <c r="V101" s="14">
        <f>(+$E$23+$F$23)</f>
        <v>291.2</v>
      </c>
      <c r="X101" s="24" t="s">
        <v>60</v>
      </c>
      <c r="Y101" s="69">
        <f>+V101/Y100</f>
        <v>4.8624910247633037</v>
      </c>
    </row>
    <row r="102" spans="2:25" ht="13.5" thickTop="1" x14ac:dyDescent="0.2"/>
    <row r="103" spans="2:25" x14ac:dyDescent="0.2">
      <c r="B103" s="86"/>
      <c r="D103" s="6">
        <v>7</v>
      </c>
      <c r="E103" s="14">
        <v>2.9</v>
      </c>
      <c r="F103" s="5">
        <v>0.38333299999999998</v>
      </c>
      <c r="G103" s="5">
        <f>3*0.05</f>
        <v>0.15000000000000002</v>
      </c>
      <c r="I103" s="234">
        <f>+G103/F103</f>
        <v>0.39130468809103319</v>
      </c>
      <c r="J103" s="235">
        <f>+I103/4</f>
        <v>9.7826172022758298E-2</v>
      </c>
    </row>
    <row r="108" spans="2:25" x14ac:dyDescent="0.2">
      <c r="L108" s="85"/>
    </row>
  </sheetData>
  <phoneticPr fontId="7" type="noConversion"/>
  <pageMargins left="0.75" right="0.75" top="1" bottom="1" header="0.5" footer="0.5"/>
  <pageSetup paperSize="9" orientation="portrait" horizontalDpi="0" verticalDpi="0" r:id="rId1"/>
  <headerFooter alignWithMargins="0"/>
  <legacyDrawing r:id="rId2"/>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8">
    <pageSetUpPr fitToPage="1"/>
  </sheetPr>
  <dimension ref="A1:Y106"/>
  <sheetViews>
    <sheetView workbookViewId="0">
      <pane xSplit="4" ySplit="6" topLeftCell="E7" activePane="bottomRight" state="frozen"/>
      <selection pane="topRight" activeCell="E1" sqref="E1"/>
      <selection pane="bottomLeft" activeCell="A7" sqref="A7"/>
      <selection pane="bottomRight" activeCell="D32" sqref="D32"/>
    </sheetView>
  </sheetViews>
  <sheetFormatPr defaultRowHeight="12.75" x14ac:dyDescent="0.2"/>
  <cols>
    <col min="1" max="1" width="4.5703125" style="6" customWidth="1"/>
    <col min="2" max="2" width="21.42578125" customWidth="1"/>
    <col min="3" max="3" width="8" customWidth="1"/>
    <col min="5" max="5" width="10.85546875" customWidth="1"/>
    <col min="6" max="16" width="9.7109375" customWidth="1"/>
    <col min="17" max="22" width="11.28515625" customWidth="1"/>
    <col min="23" max="23" width="8.28515625" customWidth="1"/>
    <col min="24" max="24" width="8" style="10" customWidth="1"/>
    <col min="25" max="25" width="9.140625" style="5" customWidth="1"/>
  </cols>
  <sheetData>
    <row r="1" spans="1:25" ht="33" x14ac:dyDescent="0.6">
      <c r="B1" s="113" t="s">
        <v>123</v>
      </c>
      <c r="G1" s="64"/>
      <c r="H1" s="65" t="s">
        <v>108</v>
      </c>
      <c r="I1" s="64"/>
    </row>
    <row r="2" spans="1:25" s="98" customFormat="1" ht="10.5" customHeight="1" x14ac:dyDescent="0.5">
      <c r="A2" s="31"/>
      <c r="B2" s="97"/>
      <c r="H2" s="99"/>
      <c r="X2" s="100"/>
      <c r="Y2" s="101"/>
    </row>
    <row r="3" spans="1:25" ht="20.25" x14ac:dyDescent="0.3">
      <c r="B3" s="114" t="s">
        <v>110</v>
      </c>
      <c r="C3" s="95"/>
      <c r="D3" s="185"/>
      <c r="E3" s="104"/>
      <c r="F3" s="96"/>
    </row>
    <row r="4" spans="1:25" s="19" customFormat="1" ht="13.5" thickBot="1" x14ac:dyDescent="0.25">
      <c r="A4" s="17"/>
      <c r="C4" s="144"/>
      <c r="D4" s="175" t="s">
        <v>20</v>
      </c>
      <c r="E4" s="160" t="s">
        <v>1</v>
      </c>
      <c r="F4" s="20" t="s">
        <v>2</v>
      </c>
      <c r="G4" s="20" t="s">
        <v>3</v>
      </c>
      <c r="H4" s="20" t="s">
        <v>4</v>
      </c>
      <c r="I4" s="21" t="s">
        <v>5</v>
      </c>
      <c r="J4" s="21" t="s">
        <v>6</v>
      </c>
      <c r="K4" s="21" t="s">
        <v>7</v>
      </c>
      <c r="L4" s="21" t="s">
        <v>8</v>
      </c>
      <c r="M4" s="22" t="s">
        <v>9</v>
      </c>
      <c r="N4" s="22" t="s">
        <v>10</v>
      </c>
      <c r="O4" s="22" t="s">
        <v>11</v>
      </c>
      <c r="P4" s="22" t="s">
        <v>12</v>
      </c>
      <c r="Q4" s="19">
        <v>2015</v>
      </c>
      <c r="R4" s="19">
        <v>2016</v>
      </c>
      <c r="S4" s="19">
        <v>2017</v>
      </c>
      <c r="T4" s="19">
        <v>2018</v>
      </c>
      <c r="U4" s="19">
        <v>2019</v>
      </c>
      <c r="V4" s="19">
        <v>2020</v>
      </c>
      <c r="W4" s="17"/>
      <c r="X4" s="24"/>
      <c r="Y4" s="23"/>
    </row>
    <row r="5" spans="1:25" s="129" customFormat="1" ht="17.25" thickBot="1" x14ac:dyDescent="0.3">
      <c r="B5" s="136" t="s">
        <v>105</v>
      </c>
      <c r="C5" s="137"/>
      <c r="D5" s="186"/>
      <c r="E5" s="183"/>
      <c r="F5" s="138">
        <f>4.5%/2</f>
        <v>2.2499999999999999E-2</v>
      </c>
      <c r="G5" s="138">
        <f t="shared" ref="G5:O6" si="0">+F5</f>
        <v>2.2499999999999999E-2</v>
      </c>
      <c r="H5" s="139">
        <f t="shared" si="0"/>
        <v>2.2499999999999999E-2</v>
      </c>
      <c r="I5" s="138">
        <f t="shared" si="0"/>
        <v>2.2499999999999999E-2</v>
      </c>
      <c r="J5" s="138">
        <f t="shared" si="0"/>
        <v>2.2499999999999999E-2</v>
      </c>
      <c r="K5" s="138">
        <f t="shared" si="0"/>
        <v>2.2499999999999999E-2</v>
      </c>
      <c r="L5" s="139">
        <f t="shared" si="0"/>
        <v>2.2499999999999999E-2</v>
      </c>
      <c r="M5" s="181">
        <f t="shared" si="0"/>
        <v>2.2499999999999999E-2</v>
      </c>
      <c r="N5" s="138">
        <f t="shared" si="0"/>
        <v>2.2499999999999999E-2</v>
      </c>
      <c r="O5" s="138">
        <f t="shared" si="0"/>
        <v>2.2499999999999999E-2</v>
      </c>
      <c r="P5" s="139">
        <f>+O5</f>
        <v>2.2499999999999999E-2</v>
      </c>
      <c r="Q5" s="179">
        <v>0.15</v>
      </c>
      <c r="R5" s="179">
        <v>0.15</v>
      </c>
      <c r="S5" s="139">
        <v>0.15</v>
      </c>
      <c r="T5" s="139">
        <v>0.15</v>
      </c>
      <c r="U5" s="139">
        <v>0.15</v>
      </c>
      <c r="V5" s="139">
        <v>0.15</v>
      </c>
      <c r="X5" s="134"/>
      <c r="Y5" s="135"/>
    </row>
    <row r="6" spans="1:25" s="129" customFormat="1" ht="17.25" thickBot="1" x14ac:dyDescent="0.3">
      <c r="B6" s="130" t="s">
        <v>106</v>
      </c>
      <c r="C6" s="131"/>
      <c r="D6" s="131"/>
      <c r="E6" s="184"/>
      <c r="F6" s="132">
        <v>-4.3999999999999997E-2</v>
      </c>
      <c r="G6" s="132">
        <f t="shared" si="0"/>
        <v>-4.3999999999999997E-2</v>
      </c>
      <c r="H6" s="133">
        <f t="shared" si="0"/>
        <v>-4.3999999999999997E-2</v>
      </c>
      <c r="I6" s="182">
        <f t="shared" si="0"/>
        <v>-4.3999999999999997E-2</v>
      </c>
      <c r="J6" s="132">
        <f t="shared" si="0"/>
        <v>-4.3999999999999997E-2</v>
      </c>
      <c r="K6" s="132">
        <f t="shared" si="0"/>
        <v>-4.3999999999999997E-2</v>
      </c>
      <c r="L6" s="133">
        <f t="shared" si="0"/>
        <v>-4.3999999999999997E-2</v>
      </c>
      <c r="M6" s="182">
        <f t="shared" si="0"/>
        <v>-4.3999999999999997E-2</v>
      </c>
      <c r="N6" s="132">
        <f t="shared" si="0"/>
        <v>-4.3999999999999997E-2</v>
      </c>
      <c r="O6" s="132">
        <f t="shared" si="0"/>
        <v>-4.3999999999999997E-2</v>
      </c>
      <c r="P6" s="133">
        <f>+O6</f>
        <v>-4.3999999999999997E-2</v>
      </c>
      <c r="Q6" s="180">
        <v>-0.15</v>
      </c>
      <c r="R6" s="180">
        <v>-0.15</v>
      </c>
      <c r="S6" s="133">
        <v>-0.1</v>
      </c>
      <c r="T6" s="133">
        <v>-0.05</v>
      </c>
      <c r="U6" s="133">
        <v>0</v>
      </c>
      <c r="V6" s="133">
        <v>0</v>
      </c>
      <c r="X6" s="134"/>
      <c r="Y6" s="135"/>
    </row>
    <row r="7" spans="1:25" ht="20.25" x14ac:dyDescent="0.3">
      <c r="B7" s="94"/>
      <c r="C7" s="95"/>
      <c r="D7" s="95"/>
      <c r="E7" s="161"/>
      <c r="F7" s="96"/>
    </row>
    <row r="8" spans="1:25" s="16" customFormat="1" ht="15.75" x14ac:dyDescent="0.25">
      <c r="A8" s="17"/>
      <c r="D8" s="155"/>
      <c r="E8" s="177" t="s">
        <v>56</v>
      </c>
      <c r="F8" s="176"/>
      <c r="X8" s="24"/>
      <c r="Y8" s="23"/>
    </row>
    <row r="9" spans="1:25" s="19" customFormat="1" x14ac:dyDescent="0.2">
      <c r="A9" s="17"/>
      <c r="C9" s="144" t="s">
        <v>36</v>
      </c>
      <c r="D9" s="175" t="s">
        <v>20</v>
      </c>
      <c r="E9" s="162" t="s">
        <v>1</v>
      </c>
      <c r="F9" s="20" t="s">
        <v>2</v>
      </c>
      <c r="G9" s="20" t="s">
        <v>3</v>
      </c>
      <c r="H9" s="20" t="s">
        <v>4</v>
      </c>
      <c r="I9" s="21" t="s">
        <v>5</v>
      </c>
      <c r="J9" s="21" t="s">
        <v>6</v>
      </c>
      <c r="K9" s="21" t="s">
        <v>7</v>
      </c>
      <c r="L9" s="21" t="s">
        <v>8</v>
      </c>
      <c r="M9" s="22" t="s">
        <v>9</v>
      </c>
      <c r="N9" s="22" t="s">
        <v>10</v>
      </c>
      <c r="O9" s="22" t="s">
        <v>11</v>
      </c>
      <c r="P9" s="22" t="s">
        <v>12</v>
      </c>
      <c r="Q9" s="19">
        <v>2015</v>
      </c>
      <c r="R9" s="19">
        <v>2016</v>
      </c>
      <c r="S9" s="19">
        <v>2017</v>
      </c>
      <c r="T9" s="19">
        <v>2018</v>
      </c>
      <c r="U9" s="19">
        <v>2019</v>
      </c>
      <c r="V9" s="19">
        <v>2020</v>
      </c>
      <c r="W9" s="17" t="s">
        <v>46</v>
      </c>
      <c r="X9" s="24"/>
      <c r="Y9" s="23"/>
    </row>
    <row r="10" spans="1:25" s="2" customFormat="1" x14ac:dyDescent="0.2">
      <c r="A10" s="31"/>
      <c r="B10" s="53" t="s">
        <v>57</v>
      </c>
      <c r="C10" s="145"/>
      <c r="D10" s="149"/>
      <c r="E10" s="163"/>
      <c r="X10" s="9"/>
      <c r="Y10" s="11"/>
    </row>
    <row r="11" spans="1:25" s="2" customFormat="1" x14ac:dyDescent="0.2">
      <c r="A11" s="31"/>
      <c r="B11" s="103"/>
      <c r="C11" s="145"/>
      <c r="D11" s="149"/>
      <c r="E11" s="163"/>
      <c r="X11" s="9"/>
      <c r="Y11" s="11"/>
    </row>
    <row r="12" spans="1:25" s="2" customFormat="1" x14ac:dyDescent="0.2">
      <c r="A12" s="31"/>
      <c r="B12" s="72" t="s">
        <v>73</v>
      </c>
      <c r="C12" s="145"/>
      <c r="D12" s="157">
        <v>90</v>
      </c>
      <c r="E12" s="164">
        <v>85.9</v>
      </c>
      <c r="F12" s="12">
        <f t="shared" ref="F12:P12" si="1">+E12*(1+F13)</f>
        <v>87.832750000000004</v>
      </c>
      <c r="G12" s="12">
        <f t="shared" si="1"/>
        <v>89.808986875000002</v>
      </c>
      <c r="H12" s="12">
        <f t="shared" si="1"/>
        <v>91.829689079687498</v>
      </c>
      <c r="I12" s="12">
        <f t="shared" si="1"/>
        <v>93.895857083980459</v>
      </c>
      <c r="J12" s="12">
        <f t="shared" si="1"/>
        <v>96.008513868370017</v>
      </c>
      <c r="K12" s="12">
        <f t="shared" si="1"/>
        <v>98.168705430408338</v>
      </c>
      <c r="L12" s="12">
        <f t="shared" si="1"/>
        <v>100.37750130259252</v>
      </c>
      <c r="M12" s="12">
        <f t="shared" si="1"/>
        <v>102.63599508190084</v>
      </c>
      <c r="N12" s="12">
        <f t="shared" si="1"/>
        <v>104.94530497124362</v>
      </c>
      <c r="O12" s="12">
        <f t="shared" si="1"/>
        <v>107.30657433309659</v>
      </c>
      <c r="P12" s="12">
        <f t="shared" si="1"/>
        <v>109.72097225559126</v>
      </c>
      <c r="Q12" s="12">
        <f>+P12*4</f>
        <v>438.88388902236505</v>
      </c>
      <c r="R12" s="12">
        <f>+Q12*(1+R13)</f>
        <v>504.71647237571977</v>
      </c>
      <c r="S12" s="12">
        <f>+R12*(1+S13)</f>
        <v>580.4239432320777</v>
      </c>
      <c r="T12" s="12">
        <f>+S12*(1+T13)</f>
        <v>667.48753471688929</v>
      </c>
      <c r="U12" s="12">
        <f>+T12*(1+U13)</f>
        <v>767.61066492442262</v>
      </c>
      <c r="V12" s="12">
        <f>+U12*(1+V13)</f>
        <v>882.75226466308595</v>
      </c>
      <c r="X12" s="9"/>
      <c r="Y12" s="11"/>
    </row>
    <row r="13" spans="1:25" s="2" customFormat="1" x14ac:dyDescent="0.2">
      <c r="A13" s="31"/>
      <c r="B13" s="73" t="s">
        <v>76</v>
      </c>
      <c r="C13" s="146"/>
      <c r="D13" s="146"/>
      <c r="E13" s="165"/>
      <c r="F13" s="77">
        <f t="shared" ref="F13:R13" si="2">+F5</f>
        <v>2.2499999999999999E-2</v>
      </c>
      <c r="G13" s="77">
        <f t="shared" si="2"/>
        <v>2.2499999999999999E-2</v>
      </c>
      <c r="H13" s="77">
        <f t="shared" si="2"/>
        <v>2.2499999999999999E-2</v>
      </c>
      <c r="I13" s="77">
        <f t="shared" si="2"/>
        <v>2.2499999999999999E-2</v>
      </c>
      <c r="J13" s="77">
        <f t="shared" si="2"/>
        <v>2.2499999999999999E-2</v>
      </c>
      <c r="K13" s="77">
        <f t="shared" si="2"/>
        <v>2.2499999999999999E-2</v>
      </c>
      <c r="L13" s="77">
        <f t="shared" si="2"/>
        <v>2.2499999999999999E-2</v>
      </c>
      <c r="M13" s="77">
        <f t="shared" si="2"/>
        <v>2.2499999999999999E-2</v>
      </c>
      <c r="N13" s="77">
        <f t="shared" si="2"/>
        <v>2.2499999999999999E-2</v>
      </c>
      <c r="O13" s="77">
        <f t="shared" si="2"/>
        <v>2.2499999999999999E-2</v>
      </c>
      <c r="P13" s="77">
        <f t="shared" si="2"/>
        <v>2.2499999999999999E-2</v>
      </c>
      <c r="Q13" s="77">
        <f t="shared" si="2"/>
        <v>0.15</v>
      </c>
      <c r="R13" s="77">
        <f t="shared" si="2"/>
        <v>0.15</v>
      </c>
      <c r="S13" s="77">
        <f>+S5</f>
        <v>0.15</v>
      </c>
      <c r="T13" s="77">
        <f>+T5</f>
        <v>0.15</v>
      </c>
      <c r="U13" s="77">
        <f>+U5</f>
        <v>0.15</v>
      </c>
      <c r="V13" s="77">
        <f>+V5</f>
        <v>0.15</v>
      </c>
      <c r="X13" s="9"/>
      <c r="Y13" s="11"/>
    </row>
    <row r="14" spans="1:25" s="111" customFormat="1" x14ac:dyDescent="0.2">
      <c r="A14" s="109"/>
      <c r="B14" s="110" t="s">
        <v>122</v>
      </c>
      <c r="C14" s="107"/>
      <c r="D14" s="107">
        <v>0.39400000000000002</v>
      </c>
      <c r="E14" s="166">
        <v>0.4</v>
      </c>
      <c r="F14" s="111">
        <f t="shared" ref="F14:R14" si="3">+E14</f>
        <v>0.4</v>
      </c>
      <c r="G14" s="111">
        <f t="shared" si="3"/>
        <v>0.4</v>
      </c>
      <c r="H14" s="111">
        <f t="shared" si="3"/>
        <v>0.4</v>
      </c>
      <c r="I14" s="111">
        <f t="shared" si="3"/>
        <v>0.4</v>
      </c>
      <c r="J14" s="111">
        <f t="shared" si="3"/>
        <v>0.4</v>
      </c>
      <c r="K14" s="111">
        <f t="shared" si="3"/>
        <v>0.4</v>
      </c>
      <c r="L14" s="111">
        <f t="shared" si="3"/>
        <v>0.4</v>
      </c>
      <c r="M14" s="111">
        <f t="shared" si="3"/>
        <v>0.4</v>
      </c>
      <c r="N14" s="111">
        <f t="shared" si="3"/>
        <v>0.4</v>
      </c>
      <c r="O14" s="111">
        <f t="shared" si="3"/>
        <v>0.4</v>
      </c>
      <c r="P14" s="111">
        <f t="shared" si="3"/>
        <v>0.4</v>
      </c>
      <c r="Q14" s="111">
        <f t="shared" si="3"/>
        <v>0.4</v>
      </c>
      <c r="R14" s="111">
        <f t="shared" si="3"/>
        <v>0.4</v>
      </c>
      <c r="S14" s="111">
        <f>+R14</f>
        <v>0.4</v>
      </c>
      <c r="T14" s="111">
        <f>+S14</f>
        <v>0.4</v>
      </c>
      <c r="U14" s="111">
        <f>+T14</f>
        <v>0.4</v>
      </c>
      <c r="V14" s="111">
        <f>+U14</f>
        <v>0.4</v>
      </c>
    </row>
    <row r="15" spans="1:25" s="2" customFormat="1" x14ac:dyDescent="0.2">
      <c r="A15" s="31"/>
      <c r="B15" s="26" t="s">
        <v>75</v>
      </c>
      <c r="C15" s="145"/>
      <c r="D15" s="80">
        <f>+D12*D14</f>
        <v>35.46</v>
      </c>
      <c r="E15" s="188">
        <f>+E12*E14</f>
        <v>34.360000000000007</v>
      </c>
      <c r="F15" s="80">
        <f t="shared" ref="F15:R15" si="4">+F12*F14</f>
        <v>35.133100000000006</v>
      </c>
      <c r="G15" s="80">
        <f t="shared" si="4"/>
        <v>35.923594749999999</v>
      </c>
      <c r="H15" s="80">
        <f t="shared" si="4"/>
        <v>36.731875631874999</v>
      </c>
      <c r="I15" s="80">
        <f t="shared" si="4"/>
        <v>37.558342833592185</v>
      </c>
      <c r="J15" s="80">
        <f t="shared" si="4"/>
        <v>38.403405547348008</v>
      </c>
      <c r="K15" s="80">
        <f t="shared" si="4"/>
        <v>39.267482172163341</v>
      </c>
      <c r="L15" s="80">
        <f t="shared" si="4"/>
        <v>40.151000521037012</v>
      </c>
      <c r="M15" s="80">
        <f t="shared" si="4"/>
        <v>41.054398032760339</v>
      </c>
      <c r="N15" s="80">
        <f t="shared" si="4"/>
        <v>41.978121988497449</v>
      </c>
      <c r="O15" s="80">
        <f t="shared" si="4"/>
        <v>42.922629733238637</v>
      </c>
      <c r="P15" s="80">
        <f t="shared" si="4"/>
        <v>43.888388902236507</v>
      </c>
      <c r="Q15" s="80">
        <f t="shared" si="4"/>
        <v>175.55355560894603</v>
      </c>
      <c r="R15" s="80">
        <f t="shared" si="4"/>
        <v>201.88658895028792</v>
      </c>
      <c r="S15" s="80">
        <f>+S12*S14</f>
        <v>232.16957729283109</v>
      </c>
      <c r="T15" s="80">
        <f>+T12*T14</f>
        <v>266.99501388675571</v>
      </c>
      <c r="U15" s="80">
        <f>+U12*U14</f>
        <v>307.04426596976907</v>
      </c>
      <c r="V15" s="80">
        <f>+V12*V14</f>
        <v>353.10090586523438</v>
      </c>
      <c r="X15" s="9"/>
      <c r="Y15" s="11"/>
    </row>
    <row r="16" spans="1:25" s="2" customFormat="1" x14ac:dyDescent="0.2">
      <c r="A16" s="31"/>
      <c r="B16" s="72"/>
      <c r="C16" s="145"/>
      <c r="D16" s="157"/>
      <c r="E16" s="164"/>
      <c r="F16" s="12"/>
      <c r="G16" s="12"/>
      <c r="H16" s="12"/>
      <c r="I16" s="12"/>
      <c r="J16" s="12"/>
      <c r="K16" s="12"/>
      <c r="L16" s="12"/>
      <c r="M16" s="12"/>
      <c r="N16" s="12"/>
      <c r="O16" s="12"/>
      <c r="P16" s="12"/>
      <c r="Q16" s="12"/>
      <c r="R16" s="12"/>
      <c r="S16" s="12"/>
      <c r="T16" s="12"/>
      <c r="U16" s="12"/>
      <c r="V16" s="12"/>
      <c r="X16" s="9"/>
      <c r="Y16" s="11"/>
    </row>
    <row r="17" spans="1:25" s="2" customFormat="1" x14ac:dyDescent="0.2">
      <c r="A17" s="31"/>
      <c r="B17" s="72" t="s">
        <v>74</v>
      </c>
      <c r="C17" s="145"/>
      <c r="D17" s="157">
        <v>223.3</v>
      </c>
      <c r="E17" s="164">
        <f>+E22-E12</f>
        <v>203.20000000000002</v>
      </c>
      <c r="F17" s="12">
        <f t="shared" ref="F17:R17" si="5">+E17*(1+F18)</f>
        <v>194.25920000000002</v>
      </c>
      <c r="G17" s="12">
        <f t="shared" si="5"/>
        <v>185.71179520000001</v>
      </c>
      <c r="H17" s="12">
        <f t="shared" si="5"/>
        <v>177.5404762112</v>
      </c>
      <c r="I17" s="12">
        <f t="shared" si="5"/>
        <v>169.72869525790719</v>
      </c>
      <c r="J17" s="12">
        <f t="shared" si="5"/>
        <v>162.26063266655927</v>
      </c>
      <c r="K17" s="12">
        <f t="shared" si="5"/>
        <v>155.12116482923065</v>
      </c>
      <c r="L17" s="12">
        <f t="shared" si="5"/>
        <v>148.29583357674449</v>
      </c>
      <c r="M17" s="12">
        <f t="shared" si="5"/>
        <v>141.77081689936773</v>
      </c>
      <c r="N17" s="12">
        <f t="shared" si="5"/>
        <v>135.53290095579555</v>
      </c>
      <c r="O17" s="12">
        <f t="shared" si="5"/>
        <v>129.56945331374055</v>
      </c>
      <c r="P17" s="12">
        <f t="shared" si="5"/>
        <v>123.86839736793597</v>
      </c>
      <c r="Q17" s="12">
        <f>+P17*4</f>
        <v>495.47358947174388</v>
      </c>
      <c r="R17" s="12">
        <f t="shared" si="5"/>
        <v>421.15255105098231</v>
      </c>
      <c r="S17" s="12">
        <f>+R17*(1+S18)</f>
        <v>379.03729594588407</v>
      </c>
      <c r="T17" s="12">
        <f>+S17*(1+T18)</f>
        <v>360.08543114858986</v>
      </c>
      <c r="U17" s="12">
        <f>+T17*(1+U18)</f>
        <v>360.08543114858986</v>
      </c>
      <c r="V17" s="12">
        <f>+U17*(1+V18)</f>
        <v>360.08543114858986</v>
      </c>
      <c r="X17" s="9"/>
      <c r="Y17" s="11"/>
    </row>
    <row r="18" spans="1:25" s="2" customFormat="1" x14ac:dyDescent="0.2">
      <c r="A18" s="31"/>
      <c r="B18" s="73" t="s">
        <v>79</v>
      </c>
      <c r="C18" s="145"/>
      <c r="D18" s="157"/>
      <c r="E18" s="167"/>
      <c r="F18" s="78">
        <f t="shared" ref="F18:R18" si="6">+F6</f>
        <v>-4.3999999999999997E-2</v>
      </c>
      <c r="G18" s="78">
        <f t="shared" si="6"/>
        <v>-4.3999999999999997E-2</v>
      </c>
      <c r="H18" s="78">
        <f t="shared" si="6"/>
        <v>-4.3999999999999997E-2</v>
      </c>
      <c r="I18" s="78">
        <f t="shared" si="6"/>
        <v>-4.3999999999999997E-2</v>
      </c>
      <c r="J18" s="78">
        <f t="shared" si="6"/>
        <v>-4.3999999999999997E-2</v>
      </c>
      <c r="K18" s="78">
        <f t="shared" si="6"/>
        <v>-4.3999999999999997E-2</v>
      </c>
      <c r="L18" s="78">
        <f t="shared" si="6"/>
        <v>-4.3999999999999997E-2</v>
      </c>
      <c r="M18" s="78">
        <f t="shared" si="6"/>
        <v>-4.3999999999999997E-2</v>
      </c>
      <c r="N18" s="78">
        <f t="shared" si="6"/>
        <v>-4.3999999999999997E-2</v>
      </c>
      <c r="O18" s="78">
        <f t="shared" si="6"/>
        <v>-4.3999999999999997E-2</v>
      </c>
      <c r="P18" s="78">
        <f t="shared" si="6"/>
        <v>-4.3999999999999997E-2</v>
      </c>
      <c r="Q18" s="78">
        <f t="shared" si="6"/>
        <v>-0.15</v>
      </c>
      <c r="R18" s="78">
        <f t="shared" si="6"/>
        <v>-0.15</v>
      </c>
      <c r="S18" s="78">
        <f>+S6</f>
        <v>-0.1</v>
      </c>
      <c r="T18" s="78">
        <f>+T6</f>
        <v>-0.05</v>
      </c>
      <c r="U18" s="78">
        <f>+U6</f>
        <v>0</v>
      </c>
      <c r="V18" s="78">
        <f>+V6</f>
        <v>0</v>
      </c>
      <c r="X18" s="9"/>
      <c r="Y18" s="11"/>
    </row>
    <row r="19" spans="1:25" s="111" customFormat="1" ht="15" x14ac:dyDescent="0.25">
      <c r="A19" s="109"/>
      <c r="B19" s="110" t="s">
        <v>122</v>
      </c>
      <c r="C19" s="147"/>
      <c r="D19" s="107">
        <v>0.5</v>
      </c>
      <c r="E19" s="166">
        <v>0.55000000000000004</v>
      </c>
      <c r="F19" s="107">
        <v>0.55000000000000004</v>
      </c>
      <c r="G19" s="107">
        <v>0.54500000000000004</v>
      </c>
      <c r="H19" s="107">
        <v>0.54</v>
      </c>
      <c r="I19" s="107">
        <v>0.54</v>
      </c>
      <c r="J19" s="107">
        <v>0.53500000000000003</v>
      </c>
      <c r="K19" s="107">
        <v>0.53</v>
      </c>
      <c r="L19" s="107">
        <v>0.53</v>
      </c>
      <c r="M19" s="107">
        <v>0.53</v>
      </c>
      <c r="N19" s="107">
        <v>0.53</v>
      </c>
      <c r="O19" s="107">
        <v>0.53</v>
      </c>
      <c r="P19" s="107">
        <v>0.53</v>
      </c>
      <c r="Q19" s="107">
        <v>0.53</v>
      </c>
      <c r="R19" s="107">
        <v>0.53</v>
      </c>
      <c r="S19" s="107">
        <v>0.53</v>
      </c>
      <c r="T19" s="107">
        <v>0.53</v>
      </c>
      <c r="U19" s="107">
        <v>0.53</v>
      </c>
      <c r="V19" s="107">
        <v>0.53</v>
      </c>
      <c r="W19" s="128" t="s">
        <v>111</v>
      </c>
    </row>
    <row r="20" spans="1:25" s="2" customFormat="1" x14ac:dyDescent="0.2">
      <c r="A20" s="31"/>
      <c r="B20" s="26" t="s">
        <v>77</v>
      </c>
      <c r="C20" s="145"/>
      <c r="D20" s="80">
        <f>+D17*D19</f>
        <v>111.65</v>
      </c>
      <c r="E20" s="188">
        <f>+E23-E15</f>
        <v>111.63999999999999</v>
      </c>
      <c r="F20" s="80">
        <f t="shared" ref="F20:R20" si="7">+F17*F19</f>
        <v>106.84256000000002</v>
      </c>
      <c r="G20" s="80">
        <f t="shared" si="7"/>
        <v>101.21292838400001</v>
      </c>
      <c r="H20" s="80">
        <f t="shared" si="7"/>
        <v>95.871857154048001</v>
      </c>
      <c r="I20" s="80">
        <f t="shared" si="7"/>
        <v>91.653495439269889</v>
      </c>
      <c r="J20" s="80">
        <f t="shared" si="7"/>
        <v>86.809438476609216</v>
      </c>
      <c r="K20" s="80">
        <f t="shared" si="7"/>
        <v>82.214217359492253</v>
      </c>
      <c r="L20" s="80">
        <f t="shared" si="7"/>
        <v>78.596791795674577</v>
      </c>
      <c r="M20" s="80">
        <f t="shared" si="7"/>
        <v>75.138532956664903</v>
      </c>
      <c r="N20" s="80">
        <f t="shared" si="7"/>
        <v>71.832437506571651</v>
      </c>
      <c r="O20" s="80">
        <f t="shared" si="7"/>
        <v>68.671810256282498</v>
      </c>
      <c r="P20" s="80">
        <f t="shared" si="7"/>
        <v>65.650250605006065</v>
      </c>
      <c r="Q20" s="80">
        <f t="shared" si="7"/>
        <v>262.60100242002426</v>
      </c>
      <c r="R20" s="80">
        <f t="shared" si="7"/>
        <v>223.21085205702065</v>
      </c>
      <c r="S20" s="80">
        <f>+S17*S19</f>
        <v>200.88976685131857</v>
      </c>
      <c r="T20" s="80">
        <f>+T17*T19</f>
        <v>190.84527850875264</v>
      </c>
      <c r="U20" s="80">
        <f>+U17*U19</f>
        <v>190.84527850875264</v>
      </c>
      <c r="V20" s="80">
        <f>+V17*V19</f>
        <v>190.84527850875264</v>
      </c>
      <c r="X20" s="9"/>
      <c r="Y20" s="11"/>
    </row>
    <row r="21" spans="1:25" s="2" customFormat="1" x14ac:dyDescent="0.2">
      <c r="A21" s="31"/>
      <c r="B21" s="73"/>
      <c r="C21" s="145"/>
      <c r="D21" s="38"/>
      <c r="E21" s="168"/>
      <c r="F21" s="38"/>
      <c r="G21" s="38"/>
      <c r="H21" s="38"/>
      <c r="I21" s="38"/>
      <c r="J21" s="38"/>
      <c r="K21" s="38"/>
      <c r="L21" s="38"/>
      <c r="M21" s="38"/>
      <c r="N21" s="38"/>
      <c r="O21" s="38"/>
      <c r="P21" s="38"/>
      <c r="Q21" s="38"/>
      <c r="R21" s="38"/>
      <c r="S21" s="38"/>
      <c r="T21" s="38"/>
      <c r="U21" s="38"/>
      <c r="V21" s="38"/>
      <c r="X21" s="9"/>
      <c r="Y21" s="11"/>
    </row>
    <row r="22" spans="1:25" s="2" customFormat="1" x14ac:dyDescent="0.2">
      <c r="A22" s="31"/>
      <c r="B22" s="73" t="s">
        <v>80</v>
      </c>
      <c r="C22" s="145"/>
      <c r="D22" s="157">
        <f>+D12+D17</f>
        <v>313.3</v>
      </c>
      <c r="E22" s="164">
        <v>289.10000000000002</v>
      </c>
      <c r="F22" s="12">
        <f t="shared" ref="F22:R22" si="8">+F12+F17</f>
        <v>282.09195</v>
      </c>
      <c r="G22" s="12">
        <f t="shared" si="8"/>
        <v>275.520782075</v>
      </c>
      <c r="H22" s="12">
        <f t="shared" si="8"/>
        <v>269.37016529088748</v>
      </c>
      <c r="I22" s="12">
        <f t="shared" si="8"/>
        <v>263.62455234188764</v>
      </c>
      <c r="J22" s="12">
        <f t="shared" si="8"/>
        <v>258.26914653492929</v>
      </c>
      <c r="K22" s="12">
        <f t="shared" si="8"/>
        <v>253.28987025963897</v>
      </c>
      <c r="L22" s="12">
        <f t="shared" si="8"/>
        <v>248.67333487933701</v>
      </c>
      <c r="M22" s="12">
        <f t="shared" si="8"/>
        <v>244.40681198126856</v>
      </c>
      <c r="N22" s="12">
        <f t="shared" si="8"/>
        <v>240.47820592703917</v>
      </c>
      <c r="O22" s="12">
        <f t="shared" si="8"/>
        <v>236.87602764683714</v>
      </c>
      <c r="P22" s="12">
        <f t="shared" si="8"/>
        <v>233.58936962352723</v>
      </c>
      <c r="Q22" s="12">
        <f t="shared" si="8"/>
        <v>934.35747849410893</v>
      </c>
      <c r="R22" s="12">
        <f t="shared" si="8"/>
        <v>925.86902342670214</v>
      </c>
      <c r="S22" s="12">
        <f>+S12+S17</f>
        <v>959.46123917796172</v>
      </c>
      <c r="T22" s="12">
        <f>+T12+T17</f>
        <v>1027.5729658654791</v>
      </c>
      <c r="U22" s="12">
        <f>+U12+U17</f>
        <v>1127.6960960730125</v>
      </c>
      <c r="V22" s="12">
        <f>+V12+V17</f>
        <v>1242.8376958116758</v>
      </c>
      <c r="X22" s="9"/>
      <c r="Y22" s="11"/>
    </row>
    <row r="23" spans="1:25" s="26" customFormat="1" ht="13.5" thickBot="1" x14ac:dyDescent="0.25">
      <c r="A23" s="32" t="s">
        <v>15</v>
      </c>
      <c r="B23" s="32" t="s">
        <v>112</v>
      </c>
      <c r="C23" s="148"/>
      <c r="D23" s="81">
        <f>+D15+D20</f>
        <v>147.11000000000001</v>
      </c>
      <c r="E23" s="79">
        <v>146</v>
      </c>
      <c r="F23" s="81">
        <f t="shared" ref="F23:R23" si="9">+F15+F20</f>
        <v>141.97566000000003</v>
      </c>
      <c r="G23" s="81">
        <f t="shared" si="9"/>
        <v>137.13652313400002</v>
      </c>
      <c r="H23" s="81">
        <f t="shared" si="9"/>
        <v>132.603732785923</v>
      </c>
      <c r="I23" s="81">
        <f t="shared" si="9"/>
        <v>129.21183827286208</v>
      </c>
      <c r="J23" s="81">
        <f t="shared" si="9"/>
        <v>125.21284402395722</v>
      </c>
      <c r="K23" s="81">
        <f t="shared" si="9"/>
        <v>121.48169953165559</v>
      </c>
      <c r="L23" s="81">
        <f t="shared" si="9"/>
        <v>118.74779231671158</v>
      </c>
      <c r="M23" s="81">
        <f t="shared" si="9"/>
        <v>116.19293098942524</v>
      </c>
      <c r="N23" s="81">
        <f t="shared" si="9"/>
        <v>113.8105594950691</v>
      </c>
      <c r="O23" s="81">
        <f t="shared" si="9"/>
        <v>111.59443998952113</v>
      </c>
      <c r="P23" s="81">
        <f t="shared" si="9"/>
        <v>109.53863950724258</v>
      </c>
      <c r="Q23" s="81">
        <f t="shared" si="9"/>
        <v>438.15455802897031</v>
      </c>
      <c r="R23" s="81">
        <f t="shared" si="9"/>
        <v>425.09744100730859</v>
      </c>
      <c r="S23" s="81">
        <f>+S15+S20</f>
        <v>433.05934414414969</v>
      </c>
      <c r="T23" s="81">
        <f>+T15+T20</f>
        <v>457.84029239550836</v>
      </c>
      <c r="U23" s="81">
        <f>+U15+U20</f>
        <v>497.88954447852171</v>
      </c>
      <c r="V23" s="81">
        <f>+V15+V20</f>
        <v>543.94618437398708</v>
      </c>
      <c r="X23" s="28"/>
      <c r="Y23" s="29"/>
    </row>
    <row r="24" spans="1:25" s="26" customFormat="1" ht="13.5" thickTop="1" x14ac:dyDescent="0.2">
      <c r="A24" s="32"/>
      <c r="B24" s="26" t="s">
        <v>81</v>
      </c>
      <c r="C24" s="148"/>
      <c r="D24" s="83">
        <f>+D23/D22</f>
        <v>0.46954995212256628</v>
      </c>
      <c r="E24" s="169">
        <f>+E23/E22</f>
        <v>0.50501556554825311</v>
      </c>
      <c r="F24" s="83">
        <f>+F23/F22</f>
        <v>0.50329568071687281</v>
      </c>
      <c r="G24" s="83">
        <f t="shared" ref="G24:R24" si="10">+G23/G22</f>
        <v>0.4977356775093279</v>
      </c>
      <c r="H24" s="83">
        <f t="shared" si="10"/>
        <v>0.49227327251600733</v>
      </c>
      <c r="I24" s="83">
        <f t="shared" si="10"/>
        <v>0.49013582811243889</v>
      </c>
      <c r="J24" s="83">
        <f t="shared" si="10"/>
        <v>0.48481533974877233</v>
      </c>
      <c r="K24" s="83">
        <f t="shared" si="10"/>
        <v>0.47961530955473569</v>
      </c>
      <c r="L24" s="83">
        <f t="shared" si="10"/>
        <v>0.4775252335532123</v>
      </c>
      <c r="M24" s="83">
        <f t="shared" si="10"/>
        <v>0.47540790719994463</v>
      </c>
      <c r="N24" s="83">
        <f t="shared" si="10"/>
        <v>0.47326766704837736</v>
      </c>
      <c r="O24" s="83">
        <f t="shared" si="10"/>
        <v>0.47110904846774682</v>
      </c>
      <c r="P24" s="83">
        <f t="shared" si="10"/>
        <v>0.46893674863622642</v>
      </c>
      <c r="Q24" s="83">
        <f t="shared" si="10"/>
        <v>0.46893674863622642</v>
      </c>
      <c r="R24" s="83">
        <f t="shared" si="10"/>
        <v>0.45913345219607304</v>
      </c>
      <c r="S24" s="83">
        <f>+S23/S22</f>
        <v>0.45135678906130927</v>
      </c>
      <c r="T24" s="83">
        <f>+T23/T22</f>
        <v>0.44555501906367284</v>
      </c>
      <c r="U24" s="83">
        <f>+U23/U22</f>
        <v>0.4415103911526585</v>
      </c>
      <c r="V24" s="83">
        <f>+V23/V22</f>
        <v>0.43766469765687727</v>
      </c>
      <c r="X24" s="28"/>
      <c r="Y24" s="29"/>
    </row>
    <row r="25" spans="1:25" s="2" customFormat="1" x14ac:dyDescent="0.2">
      <c r="A25" s="31"/>
      <c r="B25" s="103"/>
      <c r="C25" s="145"/>
      <c r="D25" s="149"/>
      <c r="E25" s="163"/>
      <c r="X25" s="9"/>
      <c r="Y25" s="11"/>
    </row>
    <row r="26" spans="1:25" s="26" customFormat="1" x14ac:dyDescent="0.2">
      <c r="A26" s="32"/>
      <c r="B26" s="25"/>
      <c r="C26" s="148"/>
      <c r="D26" s="38"/>
      <c r="E26" s="168"/>
      <c r="F26" s="38"/>
      <c r="G26" s="38"/>
      <c r="H26" s="38"/>
      <c r="I26" s="38"/>
      <c r="J26" s="38"/>
      <c r="K26" s="38"/>
      <c r="L26" s="38"/>
      <c r="M26" s="38"/>
      <c r="N26" s="38"/>
      <c r="O26" s="38"/>
      <c r="P26" s="38"/>
      <c r="Q26" s="38"/>
      <c r="R26" s="38"/>
      <c r="S26" s="38"/>
      <c r="T26" s="38"/>
      <c r="U26" s="38"/>
      <c r="V26" s="38"/>
      <c r="X26" s="28"/>
      <c r="Y26" s="29"/>
    </row>
    <row r="27" spans="1:25" s="2" customFormat="1" x14ac:dyDescent="0.2">
      <c r="A27" s="31"/>
      <c r="B27" s="53" t="s">
        <v>47</v>
      </c>
      <c r="C27" s="149"/>
      <c r="D27" s="157"/>
      <c r="E27" s="164"/>
      <c r="F27" s="12"/>
      <c r="G27" s="12"/>
      <c r="H27" s="12"/>
      <c r="I27" s="12"/>
      <c r="J27" s="12"/>
      <c r="K27" s="12"/>
      <c r="L27" s="12"/>
      <c r="M27" s="12"/>
      <c r="N27" s="12"/>
      <c r="O27" s="12"/>
      <c r="P27" s="12"/>
      <c r="Q27" s="12"/>
      <c r="R27" s="12"/>
      <c r="S27" s="12"/>
      <c r="T27" s="12"/>
      <c r="U27" s="12"/>
      <c r="V27" s="12"/>
      <c r="X27" s="9"/>
      <c r="Y27" s="11"/>
    </row>
    <row r="28" spans="1:25" s="2" customFormat="1" x14ac:dyDescent="0.2">
      <c r="A28" s="31"/>
      <c r="B28" s="25" t="s">
        <v>17</v>
      </c>
      <c r="C28" s="149"/>
      <c r="D28" s="157"/>
      <c r="E28" s="164"/>
      <c r="F28" s="12"/>
      <c r="G28" s="12"/>
      <c r="H28" s="12"/>
      <c r="I28" s="12"/>
      <c r="J28" s="12"/>
      <c r="K28" s="12"/>
      <c r="L28" s="12"/>
      <c r="M28" s="12"/>
      <c r="N28" s="12"/>
      <c r="O28" s="12"/>
      <c r="P28" s="12"/>
      <c r="Q28" s="12"/>
      <c r="R28" s="12"/>
      <c r="S28" s="12"/>
      <c r="T28" s="12"/>
      <c r="U28" s="12"/>
      <c r="V28" s="12"/>
      <c r="X28" s="9"/>
      <c r="Y28" s="11"/>
    </row>
    <row r="29" spans="1:25" s="2" customFormat="1" x14ac:dyDescent="0.2">
      <c r="A29" s="31"/>
      <c r="B29" s="1" t="s">
        <v>89</v>
      </c>
      <c r="C29" s="149"/>
      <c r="D29" s="157">
        <f>266*0.05/4</f>
        <v>3.3250000000000002</v>
      </c>
      <c r="E29" s="164">
        <v>2.0699999999999998</v>
      </c>
      <c r="F29" s="12">
        <v>1.7825</v>
      </c>
      <c r="G29" s="12">
        <v>1.4950000000000001</v>
      </c>
      <c r="H29" s="12">
        <v>1.2075</v>
      </c>
      <c r="I29" s="12">
        <v>0.92</v>
      </c>
      <c r="J29" s="12"/>
      <c r="K29" s="12"/>
      <c r="L29" s="12"/>
      <c r="M29" s="12"/>
      <c r="N29" s="12"/>
      <c r="O29" s="12"/>
      <c r="P29" s="12"/>
      <c r="Q29" s="12"/>
      <c r="R29" s="12"/>
      <c r="S29" s="12"/>
      <c r="T29" s="12"/>
      <c r="U29" s="12"/>
      <c r="V29" s="12"/>
      <c r="X29" s="9"/>
      <c r="Y29" s="11"/>
    </row>
    <row r="30" spans="1:25" s="2" customFormat="1" x14ac:dyDescent="0.2">
      <c r="A30" s="31"/>
      <c r="B30" s="1" t="s">
        <v>90</v>
      </c>
      <c r="C30" s="149"/>
      <c r="D30" s="157"/>
      <c r="E30" s="164">
        <f>+Y68/4</f>
        <v>2.629</v>
      </c>
      <c r="F30" s="12">
        <f>+E30</f>
        <v>2.629</v>
      </c>
      <c r="G30" s="12">
        <f>+F30</f>
        <v>2.629</v>
      </c>
      <c r="H30" s="12">
        <f>+G30</f>
        <v>2.629</v>
      </c>
      <c r="I30" s="12">
        <f>+H30*0.5</f>
        <v>1.3145</v>
      </c>
      <c r="J30" s="12"/>
      <c r="K30" s="12"/>
      <c r="L30" s="12"/>
      <c r="M30" s="27">
        <v>1.65</v>
      </c>
      <c r="N30" s="27">
        <v>1.65</v>
      </c>
      <c r="O30" s="27">
        <v>1.65</v>
      </c>
      <c r="P30" s="27">
        <v>1.65</v>
      </c>
      <c r="Q30" s="12"/>
      <c r="R30" s="12"/>
      <c r="S30" s="12"/>
      <c r="T30" s="12"/>
      <c r="U30" s="12"/>
      <c r="V30" s="12"/>
      <c r="X30" s="9"/>
      <c r="Y30" s="11"/>
    </row>
    <row r="31" spans="1:25" s="2" customFormat="1" x14ac:dyDescent="0.2">
      <c r="A31" s="31"/>
      <c r="B31" s="1" t="s">
        <v>25</v>
      </c>
      <c r="C31" s="187"/>
      <c r="D31" s="157">
        <v>0</v>
      </c>
      <c r="E31" s="164">
        <v>0</v>
      </c>
      <c r="F31" s="12"/>
      <c r="G31" s="12"/>
      <c r="H31" s="12"/>
      <c r="I31" s="12"/>
      <c r="J31" s="12"/>
      <c r="K31" s="12"/>
      <c r="L31" s="12"/>
      <c r="M31" s="12"/>
      <c r="N31" s="12"/>
      <c r="O31" s="12"/>
      <c r="P31" s="12"/>
      <c r="Q31" s="12"/>
      <c r="R31" s="12"/>
      <c r="S31" s="12"/>
      <c r="T31" s="12"/>
      <c r="U31" s="12"/>
      <c r="V31" s="12"/>
      <c r="X31" s="9"/>
      <c r="Y31" s="11"/>
    </row>
    <row r="32" spans="1:25" s="2" customFormat="1" x14ac:dyDescent="0.2">
      <c r="A32" s="31"/>
      <c r="B32" s="1" t="s">
        <v>34</v>
      </c>
      <c r="C32" s="149"/>
      <c r="D32" s="157">
        <f t="shared" ref="D32:K32" si="11">+$Y71/4</f>
        <v>2.875</v>
      </c>
      <c r="E32" s="164">
        <f t="shared" si="11"/>
        <v>2.875</v>
      </c>
      <c r="F32" s="12">
        <f t="shared" si="11"/>
        <v>2.875</v>
      </c>
      <c r="G32" s="12">
        <f t="shared" si="11"/>
        <v>2.875</v>
      </c>
      <c r="H32" s="12">
        <f t="shared" si="11"/>
        <v>2.875</v>
      </c>
      <c r="I32" s="12">
        <f t="shared" si="11"/>
        <v>2.875</v>
      </c>
      <c r="J32" s="12">
        <f t="shared" si="11"/>
        <v>2.875</v>
      </c>
      <c r="K32" s="12">
        <f t="shared" si="11"/>
        <v>2.875</v>
      </c>
      <c r="L32" s="127">
        <v>0.9</v>
      </c>
      <c r="M32" s="127">
        <f>+$Y71/4*0</f>
        <v>0</v>
      </c>
      <c r="N32" s="127">
        <f>+M32</f>
        <v>0</v>
      </c>
      <c r="O32" s="127">
        <f>+N32</f>
        <v>0</v>
      </c>
      <c r="P32" s="127">
        <f>+O32</f>
        <v>0</v>
      </c>
      <c r="Q32" s="127">
        <f>+P32*4</f>
        <v>0</v>
      </c>
      <c r="R32" s="127">
        <f>+Q32</f>
        <v>0</v>
      </c>
      <c r="S32" s="127">
        <f>+R32</f>
        <v>0</v>
      </c>
      <c r="T32" s="127">
        <f>+S32</f>
        <v>0</v>
      </c>
      <c r="U32" s="127">
        <f>+T32</f>
        <v>0</v>
      </c>
      <c r="V32" s="127">
        <f>+U32</f>
        <v>0</v>
      </c>
      <c r="X32" s="9"/>
      <c r="Y32" s="11"/>
    </row>
    <row r="33" spans="1:25" s="2" customFormat="1" x14ac:dyDescent="0.2">
      <c r="A33" s="31"/>
      <c r="B33" s="1" t="s">
        <v>14</v>
      </c>
      <c r="C33" s="149"/>
      <c r="D33" s="157"/>
      <c r="E33" s="164"/>
      <c r="F33" s="12"/>
      <c r="G33" s="12"/>
      <c r="H33" s="12"/>
      <c r="I33" s="12"/>
      <c r="J33" s="12"/>
      <c r="K33" s="12"/>
      <c r="L33" s="12"/>
      <c r="M33" s="12"/>
      <c r="N33" s="12"/>
      <c r="O33" s="12"/>
      <c r="P33" s="12"/>
      <c r="Q33" s="12"/>
      <c r="R33" s="12"/>
      <c r="S33" s="12"/>
      <c r="T33" s="12"/>
      <c r="U33" s="12"/>
      <c r="V33" s="12"/>
      <c r="X33" s="9"/>
      <c r="Y33" s="11"/>
    </row>
    <row r="34" spans="1:25" s="2" customFormat="1" x14ac:dyDescent="0.2">
      <c r="A34" s="31"/>
      <c r="B34" s="7" t="s">
        <v>27</v>
      </c>
      <c r="C34" s="149"/>
      <c r="D34" s="157">
        <f t="shared" ref="D34:P41" si="12">+$Y73/4</f>
        <v>2.1125000000000003</v>
      </c>
      <c r="E34" s="164">
        <f t="shared" si="12"/>
        <v>2.1125000000000003</v>
      </c>
      <c r="F34" s="12">
        <f t="shared" si="12"/>
        <v>2.1125000000000003</v>
      </c>
      <c r="G34" s="12">
        <f t="shared" si="12"/>
        <v>2.1125000000000003</v>
      </c>
      <c r="H34" s="12">
        <f t="shared" si="12"/>
        <v>2.1125000000000003</v>
      </c>
      <c r="I34" s="12">
        <f t="shared" si="12"/>
        <v>2.1125000000000003</v>
      </c>
      <c r="J34" s="12">
        <f t="shared" si="12"/>
        <v>2.1125000000000003</v>
      </c>
      <c r="K34" s="12"/>
      <c r="L34" s="12"/>
      <c r="M34" s="12"/>
      <c r="N34" s="12"/>
      <c r="O34" s="12"/>
      <c r="P34" s="12"/>
      <c r="Q34" s="12"/>
      <c r="R34" s="12"/>
      <c r="S34" s="12"/>
      <c r="T34" s="12"/>
      <c r="U34" s="12"/>
      <c r="V34" s="12"/>
      <c r="X34" s="9"/>
      <c r="Y34" s="11"/>
    </row>
    <row r="35" spans="1:25" s="2" customFormat="1" x14ac:dyDescent="0.2">
      <c r="A35" s="31"/>
      <c r="B35" s="1" t="s">
        <v>26</v>
      </c>
      <c r="C35" s="149"/>
      <c r="D35" s="157">
        <f t="shared" si="12"/>
        <v>2.140625</v>
      </c>
      <c r="E35" s="164">
        <f t="shared" si="12"/>
        <v>2.140625</v>
      </c>
      <c r="F35" s="12">
        <f t="shared" si="12"/>
        <v>2.140625</v>
      </c>
      <c r="G35" s="12">
        <f t="shared" si="12"/>
        <v>2.140625</v>
      </c>
      <c r="H35" s="12">
        <f t="shared" si="12"/>
        <v>2.140625</v>
      </c>
      <c r="I35" s="12">
        <f t="shared" si="12"/>
        <v>2.140625</v>
      </c>
      <c r="J35" s="12">
        <f t="shared" si="12"/>
        <v>2.140625</v>
      </c>
      <c r="K35" s="12">
        <f t="shared" si="12"/>
        <v>2.140625</v>
      </c>
      <c r="L35" s="12">
        <f t="shared" si="12"/>
        <v>2.140625</v>
      </c>
      <c r="M35" s="12"/>
      <c r="N35" s="12"/>
      <c r="O35" s="12"/>
      <c r="P35" s="12"/>
      <c r="Q35" s="12"/>
      <c r="R35" s="12"/>
      <c r="S35" s="12"/>
      <c r="T35" s="12"/>
      <c r="U35" s="12"/>
      <c r="V35" s="12"/>
      <c r="X35" s="9"/>
      <c r="Y35" s="11"/>
    </row>
    <row r="36" spans="1:25" s="2" customFormat="1" x14ac:dyDescent="0.2">
      <c r="A36" s="31"/>
      <c r="B36" s="1" t="s">
        <v>28</v>
      </c>
      <c r="C36" s="149"/>
      <c r="D36" s="157">
        <f t="shared" si="12"/>
        <v>3.6401249999999998</v>
      </c>
      <c r="E36" s="164">
        <f t="shared" si="12"/>
        <v>3.6401249999999998</v>
      </c>
      <c r="F36" s="12">
        <f t="shared" si="12"/>
        <v>3.6401249999999998</v>
      </c>
      <c r="G36" s="12">
        <f t="shared" si="12"/>
        <v>3.6401249999999998</v>
      </c>
      <c r="H36" s="12">
        <f t="shared" si="12"/>
        <v>3.6401249999999998</v>
      </c>
      <c r="I36" s="12">
        <f t="shared" si="12"/>
        <v>3.6401249999999998</v>
      </c>
      <c r="J36" s="12">
        <f t="shared" si="12"/>
        <v>3.6401249999999998</v>
      </c>
      <c r="K36" s="12">
        <f t="shared" si="12"/>
        <v>3.6401249999999998</v>
      </c>
      <c r="L36" s="12">
        <f t="shared" si="12"/>
        <v>3.6401249999999998</v>
      </c>
      <c r="M36" s="12">
        <f t="shared" si="12"/>
        <v>3.6401249999999998</v>
      </c>
      <c r="N36" s="12"/>
      <c r="O36" s="12"/>
      <c r="P36" s="12"/>
      <c r="Q36" s="12"/>
      <c r="R36" s="12"/>
      <c r="S36" s="12"/>
      <c r="T36" s="12"/>
      <c r="U36" s="12"/>
      <c r="V36" s="12"/>
      <c r="X36" s="9"/>
      <c r="Y36" s="11"/>
    </row>
    <row r="37" spans="1:25" s="2" customFormat="1" x14ac:dyDescent="0.2">
      <c r="A37" s="31"/>
      <c r="B37" s="1" t="s">
        <v>29</v>
      </c>
      <c r="C37" s="149"/>
      <c r="D37" s="157">
        <f t="shared" si="12"/>
        <v>2.5185</v>
      </c>
      <c r="E37" s="164">
        <f t="shared" si="12"/>
        <v>2.5185</v>
      </c>
      <c r="F37" s="12">
        <f t="shared" si="12"/>
        <v>2.5185</v>
      </c>
      <c r="G37" s="12">
        <f t="shared" si="12"/>
        <v>2.5185</v>
      </c>
      <c r="H37" s="12">
        <f t="shared" si="12"/>
        <v>2.5185</v>
      </c>
      <c r="I37" s="12">
        <f t="shared" si="12"/>
        <v>2.5185</v>
      </c>
      <c r="J37" s="12">
        <f t="shared" si="12"/>
        <v>2.5185</v>
      </c>
      <c r="K37" s="12">
        <f t="shared" si="12"/>
        <v>2.5185</v>
      </c>
      <c r="L37" s="12">
        <f t="shared" si="12"/>
        <v>2.5185</v>
      </c>
      <c r="M37" s="12">
        <f t="shared" si="12"/>
        <v>2.5185</v>
      </c>
      <c r="N37" s="12">
        <f t="shared" si="12"/>
        <v>2.5185</v>
      </c>
      <c r="O37" s="12">
        <f t="shared" si="12"/>
        <v>2.5185</v>
      </c>
      <c r="P37" s="12">
        <f t="shared" si="12"/>
        <v>2.5185</v>
      </c>
      <c r="Q37" s="12">
        <v>1.5</v>
      </c>
      <c r="R37" s="12"/>
      <c r="S37" s="12"/>
      <c r="T37" s="12"/>
      <c r="U37" s="12"/>
      <c r="V37" s="12"/>
      <c r="X37" s="9"/>
      <c r="Y37" s="11"/>
    </row>
    <row r="38" spans="1:25" s="2" customFormat="1" x14ac:dyDescent="0.2">
      <c r="A38" s="31"/>
      <c r="B38" s="1" t="s">
        <v>30</v>
      </c>
      <c r="C38" s="149"/>
      <c r="D38" s="157">
        <f t="shared" si="12"/>
        <v>4.2</v>
      </c>
      <c r="E38" s="164">
        <f t="shared" si="12"/>
        <v>4.2</v>
      </c>
      <c r="F38" s="12">
        <f t="shared" si="12"/>
        <v>4.2</v>
      </c>
      <c r="G38" s="12">
        <f t="shared" si="12"/>
        <v>4.2</v>
      </c>
      <c r="H38" s="12">
        <f t="shared" si="12"/>
        <v>4.2</v>
      </c>
      <c r="I38" s="12">
        <f t="shared" si="12"/>
        <v>4.2</v>
      </c>
      <c r="J38" s="12">
        <f t="shared" si="12"/>
        <v>4.2</v>
      </c>
      <c r="K38" s="12">
        <f t="shared" si="12"/>
        <v>4.2</v>
      </c>
      <c r="L38" s="12">
        <f t="shared" si="12"/>
        <v>4.2</v>
      </c>
      <c r="M38" s="12">
        <f t="shared" si="12"/>
        <v>4.2</v>
      </c>
      <c r="N38" s="12">
        <f t="shared" si="12"/>
        <v>4.2</v>
      </c>
      <c r="O38" s="12">
        <f t="shared" si="12"/>
        <v>4.2</v>
      </c>
      <c r="P38" s="12">
        <f t="shared" si="12"/>
        <v>4.2</v>
      </c>
      <c r="Q38" s="12">
        <f>+P38*4</f>
        <v>16.8</v>
      </c>
      <c r="R38" s="12">
        <f>+Q38/6</f>
        <v>2.8000000000000003</v>
      </c>
      <c r="S38" s="12"/>
      <c r="T38" s="12"/>
      <c r="U38" s="12"/>
      <c r="V38" s="12"/>
      <c r="X38" s="9"/>
      <c r="Y38" s="11"/>
    </row>
    <row r="39" spans="1:25" s="2" customFormat="1" x14ac:dyDescent="0.2">
      <c r="A39" s="31"/>
      <c r="B39" s="1" t="s">
        <v>31</v>
      </c>
      <c r="C39" s="149"/>
      <c r="D39" s="157">
        <f t="shared" si="12"/>
        <v>1.769625</v>
      </c>
      <c r="E39" s="164">
        <f t="shared" si="12"/>
        <v>1.769625</v>
      </c>
      <c r="F39" s="12">
        <f t="shared" si="12"/>
        <v>1.769625</v>
      </c>
      <c r="G39" s="12">
        <f t="shared" si="12"/>
        <v>1.769625</v>
      </c>
      <c r="H39" s="12">
        <f t="shared" si="12"/>
        <v>1.769625</v>
      </c>
      <c r="I39" s="12">
        <f t="shared" si="12"/>
        <v>1.769625</v>
      </c>
      <c r="J39" s="12">
        <f t="shared" si="12"/>
        <v>1.769625</v>
      </c>
      <c r="K39" s="12">
        <f t="shared" si="12"/>
        <v>1.769625</v>
      </c>
      <c r="L39" s="12">
        <f t="shared" si="12"/>
        <v>1.769625</v>
      </c>
      <c r="M39" s="12">
        <f t="shared" si="12"/>
        <v>1.769625</v>
      </c>
      <c r="N39" s="12">
        <f t="shared" si="12"/>
        <v>1.769625</v>
      </c>
      <c r="O39" s="12">
        <f t="shared" si="12"/>
        <v>1.769625</v>
      </c>
      <c r="P39" s="12">
        <f t="shared" si="12"/>
        <v>1.769625</v>
      </c>
      <c r="Q39" s="12">
        <f>+P39*4</f>
        <v>7.0785</v>
      </c>
      <c r="R39" s="12">
        <f t="shared" ref="R39:T41" si="13">+Q39</f>
        <v>7.0785</v>
      </c>
      <c r="S39" s="12">
        <f t="shared" si="13"/>
        <v>7.0785</v>
      </c>
      <c r="T39" s="12">
        <f t="shared" si="13"/>
        <v>7.0785</v>
      </c>
      <c r="U39" s="12">
        <f>+T39*0.9</f>
        <v>6.3706500000000004</v>
      </c>
      <c r="V39" s="12"/>
      <c r="X39" s="9"/>
      <c r="Y39" s="11"/>
    </row>
    <row r="40" spans="1:25" s="2" customFormat="1" x14ac:dyDescent="0.2">
      <c r="A40" s="31"/>
      <c r="B40" s="1" t="s">
        <v>32</v>
      </c>
      <c r="C40" s="149"/>
      <c r="D40" s="157">
        <f t="shared" si="12"/>
        <v>5.8125</v>
      </c>
      <c r="E40" s="164">
        <f t="shared" si="12"/>
        <v>5.8125</v>
      </c>
      <c r="F40" s="12">
        <f t="shared" si="12"/>
        <v>5.8125</v>
      </c>
      <c r="G40" s="12">
        <f t="shared" si="12"/>
        <v>5.8125</v>
      </c>
      <c r="H40" s="12">
        <f t="shared" si="12"/>
        <v>5.8125</v>
      </c>
      <c r="I40" s="12">
        <f t="shared" si="12"/>
        <v>5.8125</v>
      </c>
      <c r="J40" s="12">
        <f t="shared" si="12"/>
        <v>5.8125</v>
      </c>
      <c r="K40" s="12">
        <f t="shared" si="12"/>
        <v>5.8125</v>
      </c>
      <c r="L40" s="12">
        <f t="shared" si="12"/>
        <v>5.8125</v>
      </c>
      <c r="M40" s="12">
        <f t="shared" si="12"/>
        <v>5.8125</v>
      </c>
      <c r="N40" s="12">
        <f t="shared" si="12"/>
        <v>5.8125</v>
      </c>
      <c r="O40" s="12">
        <f t="shared" si="12"/>
        <v>5.8125</v>
      </c>
      <c r="P40" s="12">
        <f t="shared" si="12"/>
        <v>5.8125</v>
      </c>
      <c r="Q40" s="12">
        <f>+P40*4</f>
        <v>23.25</v>
      </c>
      <c r="R40" s="12">
        <f t="shared" si="13"/>
        <v>23.25</v>
      </c>
      <c r="S40" s="12">
        <f t="shared" si="13"/>
        <v>23.25</v>
      </c>
      <c r="T40" s="12">
        <f t="shared" si="13"/>
        <v>23.25</v>
      </c>
      <c r="U40" s="12">
        <f>+T40</f>
        <v>23.25</v>
      </c>
      <c r="V40" s="12">
        <f>+U40*0.25</f>
        <v>5.8125</v>
      </c>
      <c r="X40" s="9"/>
      <c r="Y40" s="11"/>
    </row>
    <row r="41" spans="1:25" s="2" customFormat="1" x14ac:dyDescent="0.2">
      <c r="A41" s="31"/>
      <c r="B41" s="1" t="s">
        <v>33</v>
      </c>
      <c r="C41" s="149"/>
      <c r="D41" s="157">
        <f t="shared" si="12"/>
        <v>0.265625</v>
      </c>
      <c r="E41" s="164">
        <f t="shared" si="12"/>
        <v>0.265625</v>
      </c>
      <c r="F41" s="12">
        <f t="shared" si="12"/>
        <v>0.265625</v>
      </c>
      <c r="G41" s="12">
        <f t="shared" si="12"/>
        <v>0.265625</v>
      </c>
      <c r="H41" s="12">
        <f t="shared" si="12"/>
        <v>0.265625</v>
      </c>
      <c r="I41" s="12">
        <f t="shared" si="12"/>
        <v>0.265625</v>
      </c>
      <c r="J41" s="12">
        <f t="shared" si="12"/>
        <v>0.265625</v>
      </c>
      <c r="K41" s="12">
        <f t="shared" si="12"/>
        <v>0.265625</v>
      </c>
      <c r="L41" s="12">
        <f t="shared" si="12"/>
        <v>0.265625</v>
      </c>
      <c r="M41" s="12">
        <f t="shared" si="12"/>
        <v>0.265625</v>
      </c>
      <c r="N41" s="12">
        <f t="shared" si="12"/>
        <v>0.265625</v>
      </c>
      <c r="O41" s="12">
        <f t="shared" si="12"/>
        <v>0.265625</v>
      </c>
      <c r="P41" s="12">
        <f t="shared" si="12"/>
        <v>0.265625</v>
      </c>
      <c r="Q41" s="12">
        <f>+P41*4</f>
        <v>1.0625</v>
      </c>
      <c r="R41" s="12">
        <f t="shared" si="13"/>
        <v>1.0625</v>
      </c>
      <c r="S41" s="12">
        <f t="shared" si="13"/>
        <v>1.0625</v>
      </c>
      <c r="T41" s="12">
        <f t="shared" si="13"/>
        <v>1.0625</v>
      </c>
      <c r="U41" s="12">
        <f>+T41</f>
        <v>1.0625</v>
      </c>
      <c r="V41" s="12">
        <f>+U41</f>
        <v>1.0625</v>
      </c>
      <c r="X41" s="9"/>
      <c r="Y41" s="11"/>
    </row>
    <row r="42" spans="1:25" s="2" customFormat="1" x14ac:dyDescent="0.2">
      <c r="A42" s="31"/>
      <c r="B42" s="19" t="s">
        <v>101</v>
      </c>
      <c r="C42" s="149"/>
      <c r="D42" s="157">
        <f>35.6-28.7</f>
        <v>6.9000000000000021</v>
      </c>
      <c r="E42" s="164">
        <f>32.9-30</f>
        <v>2.8999999999999986</v>
      </c>
      <c r="F42" s="12"/>
      <c r="G42" s="12"/>
      <c r="H42" s="12"/>
      <c r="I42" s="12"/>
      <c r="J42" s="12"/>
      <c r="K42" s="12"/>
      <c r="L42" s="12"/>
      <c r="M42" s="12"/>
      <c r="N42" s="12"/>
      <c r="O42" s="12"/>
      <c r="P42" s="12"/>
      <c r="Q42" s="12"/>
      <c r="R42" s="12"/>
      <c r="S42" s="12"/>
      <c r="T42" s="12"/>
      <c r="U42" s="12"/>
      <c r="V42" s="12"/>
      <c r="X42" s="9"/>
      <c r="Y42" s="11"/>
    </row>
    <row r="43" spans="1:25" s="2" customFormat="1" x14ac:dyDescent="0.2">
      <c r="A43" s="31"/>
      <c r="B43" s="19"/>
      <c r="C43" s="149"/>
      <c r="D43" s="157"/>
      <c r="E43" s="164"/>
      <c r="F43" s="12"/>
      <c r="G43" s="12"/>
      <c r="H43" s="12"/>
      <c r="I43" s="12"/>
      <c r="J43" s="12"/>
      <c r="K43" s="12"/>
      <c r="L43" s="12"/>
      <c r="M43" s="12"/>
      <c r="N43" s="12"/>
      <c r="O43" s="12"/>
      <c r="P43" s="12"/>
      <c r="Q43" s="12"/>
      <c r="R43" s="12"/>
      <c r="S43" s="12"/>
      <c r="T43" s="12"/>
      <c r="U43" s="12"/>
      <c r="V43" s="12"/>
      <c r="X43" s="9"/>
      <c r="Y43" s="11"/>
    </row>
    <row r="44" spans="1:25" s="2" customFormat="1" x14ac:dyDescent="0.2">
      <c r="A44" s="31" t="s">
        <v>119</v>
      </c>
      <c r="B44" s="19" t="s">
        <v>115</v>
      </c>
      <c r="C44" s="149"/>
      <c r="D44" s="157"/>
      <c r="E44" s="164">
        <v>1.9</v>
      </c>
      <c r="F44" s="12"/>
      <c r="G44" s="12"/>
      <c r="H44" s="12"/>
      <c r="I44" s="12"/>
      <c r="J44" s="12"/>
      <c r="K44" s="12"/>
      <c r="L44" s="12"/>
      <c r="M44" s="12"/>
      <c r="N44" s="12"/>
      <c r="O44" s="12"/>
      <c r="P44" s="12"/>
      <c r="Q44" s="12"/>
      <c r="R44" s="12"/>
      <c r="S44" s="12"/>
      <c r="T44" s="12"/>
      <c r="U44" s="12"/>
      <c r="V44" s="12"/>
      <c r="X44" s="9"/>
      <c r="Y44" s="11"/>
    </row>
    <row r="45" spans="1:25" s="2" customFormat="1" x14ac:dyDescent="0.2">
      <c r="A45" s="31"/>
      <c r="B45" s="25"/>
      <c r="C45" s="149"/>
      <c r="D45" s="157"/>
      <c r="E45" s="164"/>
      <c r="F45" s="12"/>
      <c r="G45" s="12"/>
      <c r="H45" s="12"/>
      <c r="I45" s="12"/>
      <c r="J45" s="12"/>
      <c r="K45" s="12"/>
      <c r="L45" s="12"/>
      <c r="M45" s="12"/>
      <c r="N45" s="12"/>
      <c r="O45" s="12"/>
      <c r="P45" s="12"/>
      <c r="Q45" s="12"/>
      <c r="R45" s="12"/>
      <c r="S45" s="12"/>
      <c r="T45" s="12"/>
      <c r="U45" s="12"/>
      <c r="V45" s="12"/>
      <c r="X45" s="9"/>
      <c r="Y45" s="11"/>
    </row>
    <row r="46" spans="1:25" s="2" customFormat="1" x14ac:dyDescent="0.2">
      <c r="A46" s="31"/>
      <c r="B46" s="25" t="s">
        <v>117</v>
      </c>
      <c r="C46" s="149"/>
      <c r="D46" s="157">
        <v>27.3</v>
      </c>
      <c r="E46" s="178">
        <v>29.8</v>
      </c>
      <c r="F46" s="12">
        <f>+(125-$E$46)/3</f>
        <v>31.733333333333334</v>
      </c>
      <c r="G46" s="12">
        <f t="shared" ref="G46:P46" si="14">+F46</f>
        <v>31.733333333333334</v>
      </c>
      <c r="H46" s="12">
        <f t="shared" si="14"/>
        <v>31.733333333333334</v>
      </c>
      <c r="I46" s="12">
        <v>35</v>
      </c>
      <c r="J46" s="12">
        <f t="shared" si="14"/>
        <v>35</v>
      </c>
      <c r="K46" s="12">
        <f t="shared" si="14"/>
        <v>35</v>
      </c>
      <c r="L46" s="12">
        <f t="shared" si="14"/>
        <v>35</v>
      </c>
      <c r="M46" s="12">
        <f t="shared" si="14"/>
        <v>35</v>
      </c>
      <c r="N46" s="12">
        <f t="shared" si="14"/>
        <v>35</v>
      </c>
      <c r="O46" s="12">
        <f t="shared" si="14"/>
        <v>35</v>
      </c>
      <c r="P46" s="12">
        <f t="shared" si="14"/>
        <v>35</v>
      </c>
      <c r="Q46" s="12">
        <f>+P46*4</f>
        <v>140</v>
      </c>
      <c r="R46" s="12">
        <f>+Q46</f>
        <v>140</v>
      </c>
      <c r="S46" s="12">
        <f>+R46</f>
        <v>140</v>
      </c>
      <c r="T46" s="12">
        <f>+S46</f>
        <v>140</v>
      </c>
      <c r="U46" s="12">
        <f>+T46</f>
        <v>140</v>
      </c>
      <c r="V46" s="12">
        <f>+U46</f>
        <v>140</v>
      </c>
      <c r="X46" s="9"/>
      <c r="Y46" s="11"/>
    </row>
    <row r="47" spans="1:25" s="2" customFormat="1" x14ac:dyDescent="0.2">
      <c r="A47" s="31"/>
      <c r="C47" s="149"/>
      <c r="D47" s="157"/>
      <c r="E47" s="164"/>
      <c r="F47" s="12"/>
      <c r="G47" s="12"/>
      <c r="H47" s="12"/>
      <c r="I47" s="12"/>
      <c r="J47" s="12"/>
      <c r="K47" s="12"/>
      <c r="L47" s="12"/>
      <c r="M47" s="12"/>
      <c r="N47" s="12"/>
      <c r="O47" s="12"/>
      <c r="P47" s="12"/>
      <c r="Q47" s="12"/>
      <c r="R47" s="12"/>
      <c r="S47" s="12"/>
      <c r="T47" s="12"/>
      <c r="U47" s="12"/>
      <c r="V47" s="12"/>
      <c r="X47" s="9"/>
      <c r="Y47" s="11"/>
    </row>
    <row r="48" spans="1:25" s="2" customFormat="1" x14ac:dyDescent="0.2">
      <c r="A48" s="31"/>
      <c r="B48" s="25" t="s">
        <v>71</v>
      </c>
      <c r="C48" s="149"/>
      <c r="D48" s="157">
        <v>14.7</v>
      </c>
      <c r="E48" s="164">
        <v>8.1999999999999993</v>
      </c>
      <c r="F48" s="12">
        <v>12.5</v>
      </c>
      <c r="G48" s="12">
        <f t="shared" ref="G48:P48" si="15">+F48</f>
        <v>12.5</v>
      </c>
      <c r="H48" s="12">
        <f t="shared" si="15"/>
        <v>12.5</v>
      </c>
      <c r="I48" s="12">
        <f t="shared" si="15"/>
        <v>12.5</v>
      </c>
      <c r="J48" s="12">
        <f t="shared" si="15"/>
        <v>12.5</v>
      </c>
      <c r="K48" s="12">
        <f t="shared" si="15"/>
        <v>12.5</v>
      </c>
      <c r="L48" s="12">
        <f t="shared" si="15"/>
        <v>12.5</v>
      </c>
      <c r="M48" s="12">
        <f t="shared" si="15"/>
        <v>12.5</v>
      </c>
      <c r="N48" s="12">
        <f t="shared" si="15"/>
        <v>12.5</v>
      </c>
      <c r="O48" s="12">
        <f t="shared" si="15"/>
        <v>12.5</v>
      </c>
      <c r="P48" s="12">
        <f t="shared" si="15"/>
        <v>12.5</v>
      </c>
      <c r="Q48" s="12">
        <f>+P48*4</f>
        <v>50</v>
      </c>
      <c r="R48" s="12">
        <f>+Q48</f>
        <v>50</v>
      </c>
      <c r="S48" s="12">
        <f>+R48</f>
        <v>50</v>
      </c>
      <c r="T48" s="12">
        <f>+S48</f>
        <v>50</v>
      </c>
      <c r="U48" s="12">
        <f>+T48</f>
        <v>50</v>
      </c>
      <c r="V48" s="12">
        <f>+U48</f>
        <v>50</v>
      </c>
      <c r="X48" s="9"/>
      <c r="Y48" s="11"/>
    </row>
    <row r="49" spans="1:25" s="2" customFormat="1" x14ac:dyDescent="0.2">
      <c r="A49" s="31" t="s">
        <v>119</v>
      </c>
      <c r="B49" s="25" t="s">
        <v>116</v>
      </c>
      <c r="C49" s="149"/>
      <c r="D49" s="157">
        <v>0</v>
      </c>
      <c r="E49" s="164">
        <v>13.036</v>
      </c>
      <c r="F49" s="12">
        <v>0</v>
      </c>
      <c r="G49" s="12">
        <v>0</v>
      </c>
      <c r="H49" s="12">
        <v>0</v>
      </c>
      <c r="I49" s="27">
        <v>13</v>
      </c>
      <c r="J49" s="12">
        <v>0</v>
      </c>
      <c r="K49" s="12">
        <v>0</v>
      </c>
      <c r="L49" s="12">
        <v>0</v>
      </c>
      <c r="M49" s="27">
        <v>13</v>
      </c>
      <c r="N49" s="12">
        <v>0</v>
      </c>
      <c r="O49" s="12">
        <v>0</v>
      </c>
      <c r="P49" s="12">
        <v>0</v>
      </c>
      <c r="Q49" s="27">
        <v>13</v>
      </c>
      <c r="R49" s="27">
        <v>13</v>
      </c>
      <c r="S49" s="12">
        <v>0</v>
      </c>
      <c r="T49" s="12">
        <v>0</v>
      </c>
      <c r="U49" s="12">
        <v>0</v>
      </c>
      <c r="V49" s="12">
        <v>0</v>
      </c>
      <c r="X49" s="9"/>
      <c r="Y49" s="11"/>
    </row>
    <row r="50" spans="1:25" s="2" customFormat="1" x14ac:dyDescent="0.2">
      <c r="A50" s="31" t="s">
        <v>119</v>
      </c>
      <c r="B50" s="25" t="s">
        <v>118</v>
      </c>
      <c r="C50" s="149"/>
      <c r="D50" s="157"/>
      <c r="E50" s="164">
        <f>42.736+(315.3-310.1)</f>
        <v>47.935999999999986</v>
      </c>
      <c r="F50" s="12"/>
      <c r="G50" s="12"/>
      <c r="H50" s="12"/>
      <c r="I50" s="12"/>
      <c r="J50" s="12"/>
      <c r="K50" s="12"/>
      <c r="L50" s="12"/>
      <c r="M50" s="12"/>
      <c r="N50" s="12"/>
      <c r="O50" s="12"/>
      <c r="P50" s="12"/>
      <c r="Q50" s="12"/>
      <c r="R50" s="12"/>
      <c r="S50" s="12"/>
      <c r="T50" s="12"/>
      <c r="U50" s="12"/>
      <c r="V50" s="12"/>
      <c r="X50" s="9"/>
      <c r="Y50" s="11"/>
    </row>
    <row r="51" spans="1:25" s="2" customFormat="1" x14ac:dyDescent="0.2">
      <c r="A51" s="31"/>
      <c r="C51" s="149"/>
      <c r="D51" s="157"/>
      <c r="E51" s="164"/>
      <c r="F51" s="12"/>
      <c r="G51" s="12"/>
      <c r="H51" s="12"/>
      <c r="I51" s="12"/>
      <c r="J51" s="12"/>
      <c r="K51" s="12"/>
      <c r="L51" s="12"/>
      <c r="M51" s="12"/>
      <c r="N51" s="12"/>
      <c r="O51" s="12"/>
      <c r="P51" s="12"/>
      <c r="Q51" s="12"/>
      <c r="R51" s="12"/>
      <c r="S51" s="12"/>
      <c r="T51" s="12"/>
      <c r="U51" s="12"/>
      <c r="V51" s="12"/>
      <c r="X51" s="9"/>
      <c r="Y51" s="11"/>
    </row>
    <row r="52" spans="1:25" s="2" customFormat="1" x14ac:dyDescent="0.2">
      <c r="A52" s="31"/>
      <c r="B52" s="25" t="s">
        <v>102</v>
      </c>
      <c r="C52" s="149"/>
      <c r="D52" s="157">
        <v>2.9</v>
      </c>
      <c r="E52" s="164">
        <v>0</v>
      </c>
      <c r="F52" s="12"/>
      <c r="G52" s="12"/>
      <c r="H52" s="12"/>
      <c r="I52" s="12"/>
      <c r="J52" s="12"/>
      <c r="K52" s="12"/>
      <c r="L52" s="12"/>
      <c r="M52" s="12"/>
      <c r="N52" s="12"/>
      <c r="O52" s="12"/>
      <c r="P52" s="12"/>
      <c r="Q52" s="12"/>
      <c r="R52" s="12"/>
      <c r="S52" s="12"/>
      <c r="T52" s="12"/>
      <c r="U52" s="12"/>
      <c r="V52" s="12"/>
      <c r="X52" s="9"/>
      <c r="Y52" s="11"/>
    </row>
    <row r="53" spans="1:25" s="2" customFormat="1" x14ac:dyDescent="0.2">
      <c r="A53" s="31"/>
      <c r="B53" s="2" t="s">
        <v>103</v>
      </c>
      <c r="C53" s="149"/>
      <c r="D53" s="157">
        <v>0.5</v>
      </c>
      <c r="E53" s="164"/>
      <c r="F53" s="12"/>
      <c r="G53" s="12"/>
      <c r="H53" s="12"/>
      <c r="I53" s="12"/>
      <c r="J53" s="12"/>
      <c r="K53" s="12"/>
      <c r="L53" s="12"/>
      <c r="M53" s="12"/>
      <c r="N53" s="12"/>
      <c r="O53" s="12"/>
      <c r="P53" s="12"/>
      <c r="Q53" s="12"/>
      <c r="R53" s="12"/>
      <c r="S53" s="12"/>
      <c r="T53" s="12"/>
      <c r="U53" s="12"/>
      <c r="V53" s="12"/>
      <c r="X53" s="9"/>
      <c r="Y53" s="11"/>
    </row>
    <row r="54" spans="1:25" s="2" customFormat="1" x14ac:dyDescent="0.2">
      <c r="A54" s="31"/>
      <c r="B54" s="25" t="s">
        <v>19</v>
      </c>
      <c r="C54" s="150" t="s">
        <v>107</v>
      </c>
      <c r="D54" s="157">
        <v>10</v>
      </c>
      <c r="E54" s="164">
        <v>0</v>
      </c>
      <c r="F54" s="12">
        <v>0</v>
      </c>
      <c r="G54" s="12">
        <f t="shared" ref="G54:P54" si="16">+F54</f>
        <v>0</v>
      </c>
      <c r="H54" s="12">
        <f t="shared" si="16"/>
        <v>0</v>
      </c>
      <c r="I54" s="12">
        <f t="shared" si="16"/>
        <v>0</v>
      </c>
      <c r="J54" s="12">
        <f t="shared" si="16"/>
        <v>0</v>
      </c>
      <c r="K54" s="12">
        <f t="shared" si="16"/>
        <v>0</v>
      </c>
      <c r="L54" s="12">
        <f t="shared" si="16"/>
        <v>0</v>
      </c>
      <c r="M54" s="12">
        <f t="shared" si="16"/>
        <v>0</v>
      </c>
      <c r="N54" s="12">
        <f t="shared" si="16"/>
        <v>0</v>
      </c>
      <c r="O54" s="12">
        <f t="shared" si="16"/>
        <v>0</v>
      </c>
      <c r="P54" s="12">
        <f t="shared" si="16"/>
        <v>0</v>
      </c>
      <c r="Q54" s="12">
        <f>+P54*4</f>
        <v>0</v>
      </c>
      <c r="R54" s="12">
        <f>+Q54</f>
        <v>0</v>
      </c>
      <c r="S54" s="12">
        <f>+R54</f>
        <v>0</v>
      </c>
      <c r="T54" s="12">
        <f>+S54</f>
        <v>0</v>
      </c>
      <c r="U54" s="12">
        <f>+T54</f>
        <v>0</v>
      </c>
      <c r="V54" s="12">
        <f>+U54</f>
        <v>0</v>
      </c>
      <c r="X54" s="9"/>
      <c r="Y54" s="11"/>
    </row>
    <row r="55" spans="1:25" s="2" customFormat="1" x14ac:dyDescent="0.2">
      <c r="A55" s="31"/>
      <c r="C55" s="150"/>
      <c r="D55" s="13"/>
      <c r="E55" s="170"/>
      <c r="F55" s="13"/>
      <c r="G55" s="13"/>
      <c r="H55" s="13"/>
      <c r="I55" s="13"/>
      <c r="J55" s="13"/>
      <c r="K55" s="13"/>
      <c r="L55" s="13"/>
      <c r="M55" s="13"/>
      <c r="N55" s="13"/>
      <c r="O55" s="13"/>
      <c r="P55" s="13"/>
      <c r="Q55" s="13"/>
      <c r="R55" s="13"/>
      <c r="S55" s="13"/>
      <c r="T55" s="13"/>
      <c r="U55" s="13"/>
      <c r="V55" s="13"/>
      <c r="X55" s="9"/>
      <c r="Y55" s="11"/>
    </row>
    <row r="56" spans="1:25" s="26" customFormat="1" x14ac:dyDescent="0.2">
      <c r="A56" s="32" t="s">
        <v>40</v>
      </c>
      <c r="B56" s="25" t="s">
        <v>21</v>
      </c>
      <c r="C56" s="151"/>
      <c r="D56" s="38">
        <f>SUM(D28:D55)</f>
        <v>90.959500000000006</v>
      </c>
      <c r="E56" s="168">
        <f>SUM(E28:E55)</f>
        <v>133.80549999999999</v>
      </c>
      <c r="F56" s="27">
        <f t="shared" ref="F56:R56" si="17">SUM(F28:F55)</f>
        <v>73.979333333333329</v>
      </c>
      <c r="G56" s="27">
        <f t="shared" si="17"/>
        <v>73.691833333333335</v>
      </c>
      <c r="H56" s="27">
        <f t="shared" si="17"/>
        <v>73.404333333333341</v>
      </c>
      <c r="I56" s="27">
        <f t="shared" si="17"/>
        <v>88.069000000000003</v>
      </c>
      <c r="J56" s="27">
        <f t="shared" si="17"/>
        <v>72.834500000000006</v>
      </c>
      <c r="K56" s="27">
        <f t="shared" si="17"/>
        <v>70.722000000000008</v>
      </c>
      <c r="L56" s="27">
        <f t="shared" si="17"/>
        <v>68.747</v>
      </c>
      <c r="M56" s="27">
        <f t="shared" si="17"/>
        <v>80.356375</v>
      </c>
      <c r="N56" s="27">
        <f t="shared" si="17"/>
        <v>63.716250000000002</v>
      </c>
      <c r="O56" s="27">
        <f t="shared" si="17"/>
        <v>63.716250000000002</v>
      </c>
      <c r="P56" s="27">
        <f t="shared" si="17"/>
        <v>63.716250000000002</v>
      </c>
      <c r="Q56" s="27">
        <f t="shared" si="17"/>
        <v>252.691</v>
      </c>
      <c r="R56" s="27">
        <f t="shared" si="17"/>
        <v>237.191</v>
      </c>
      <c r="S56" s="27">
        <f>SUM(S28:S55)</f>
        <v>221.39099999999999</v>
      </c>
      <c r="T56" s="27">
        <f>SUM(T28:T55)</f>
        <v>221.39099999999999</v>
      </c>
      <c r="U56" s="27">
        <f>SUM(U28:U55)</f>
        <v>220.68315000000001</v>
      </c>
      <c r="V56" s="27">
        <f>SUM(V28:V55)</f>
        <v>196.875</v>
      </c>
      <c r="X56" s="28"/>
      <c r="Y56" s="29"/>
    </row>
    <row r="57" spans="1:25" s="26" customFormat="1" x14ac:dyDescent="0.2">
      <c r="A57" s="32"/>
      <c r="B57" s="25"/>
      <c r="C57" s="151"/>
      <c r="D57" s="38"/>
      <c r="E57" s="168"/>
      <c r="F57" s="27"/>
      <c r="G57" s="27"/>
      <c r="H57" s="27"/>
      <c r="I57" s="27"/>
      <c r="J57" s="27"/>
      <c r="K57" s="27"/>
      <c r="L57" s="27"/>
      <c r="M57" s="27"/>
      <c r="N57" s="27"/>
      <c r="O57" s="27"/>
      <c r="P57" s="27"/>
      <c r="Q57" s="27"/>
      <c r="R57" s="27"/>
      <c r="S57" s="27"/>
      <c r="T57" s="27"/>
      <c r="U57" s="27"/>
      <c r="V57" s="27"/>
      <c r="X57" s="28"/>
      <c r="Y57" s="29"/>
    </row>
    <row r="58" spans="1:25" s="26" customFormat="1" x14ac:dyDescent="0.2">
      <c r="A58" s="32"/>
      <c r="B58" s="3" t="s">
        <v>35</v>
      </c>
      <c r="C58" s="145"/>
      <c r="D58" s="157">
        <v>52</v>
      </c>
      <c r="E58" s="168"/>
      <c r="F58" s="27"/>
      <c r="G58" s="27"/>
      <c r="H58" s="27"/>
      <c r="I58" s="27"/>
      <c r="J58" s="27"/>
      <c r="K58" s="27"/>
      <c r="L58" s="27"/>
      <c r="M58" s="27"/>
      <c r="N58" s="27"/>
      <c r="O58" s="27"/>
      <c r="P58" s="27"/>
      <c r="Q58" s="27"/>
      <c r="R58" s="27"/>
      <c r="S58" s="27"/>
      <c r="T58" s="27"/>
      <c r="U58" s="27"/>
      <c r="V58" s="27"/>
      <c r="X58" s="28"/>
      <c r="Y58" s="29"/>
    </row>
    <row r="59" spans="1:25" s="2" customFormat="1" x14ac:dyDescent="0.2">
      <c r="A59" s="31"/>
      <c r="B59" s="3" t="s">
        <v>54</v>
      </c>
      <c r="C59" s="145"/>
      <c r="D59" s="13">
        <v>72</v>
      </c>
      <c r="E59" s="170"/>
      <c r="F59" s="13"/>
      <c r="G59" s="13"/>
      <c r="H59" s="13"/>
      <c r="I59" s="13"/>
      <c r="J59" s="13"/>
      <c r="K59" s="13"/>
      <c r="L59" s="13"/>
      <c r="M59" s="13"/>
      <c r="N59" s="13"/>
      <c r="O59" s="13"/>
      <c r="P59" s="13"/>
      <c r="Q59" s="13"/>
      <c r="R59" s="13"/>
      <c r="S59" s="13"/>
      <c r="T59" s="13"/>
      <c r="U59" s="13"/>
      <c r="V59" s="13"/>
      <c r="X59" s="9"/>
      <c r="Y59" s="11"/>
    </row>
    <row r="60" spans="1:25" s="26" customFormat="1" ht="13.5" thickBot="1" x14ac:dyDescent="0.25">
      <c r="A60" s="32" t="s">
        <v>41</v>
      </c>
      <c r="B60" s="25" t="s">
        <v>43</v>
      </c>
      <c r="C60" s="152" t="s">
        <v>44</v>
      </c>
      <c r="D60" s="33">
        <f>+D23-D56+D59+D58</f>
        <v>180.15050000000002</v>
      </c>
      <c r="E60" s="171">
        <f t="shared" ref="E60:V60" si="18">+E23-E56</f>
        <v>12.194500000000005</v>
      </c>
      <c r="F60" s="33">
        <f t="shared" si="18"/>
        <v>67.996326666666704</v>
      </c>
      <c r="G60" s="33">
        <f t="shared" si="18"/>
        <v>63.44468980066668</v>
      </c>
      <c r="H60" s="33">
        <f t="shared" si="18"/>
        <v>59.19939945258966</v>
      </c>
      <c r="I60" s="33">
        <f t="shared" si="18"/>
        <v>41.142838272862079</v>
      </c>
      <c r="J60" s="33">
        <f t="shared" si="18"/>
        <v>52.378344023957212</v>
      </c>
      <c r="K60" s="33">
        <f t="shared" si="18"/>
        <v>50.759699531655585</v>
      </c>
      <c r="L60" s="33">
        <f t="shared" si="18"/>
        <v>50.000792316711582</v>
      </c>
      <c r="M60" s="33">
        <f t="shared" si="18"/>
        <v>35.836555989425236</v>
      </c>
      <c r="N60" s="33">
        <f t="shared" si="18"/>
        <v>50.094309495069098</v>
      </c>
      <c r="O60" s="33">
        <f t="shared" si="18"/>
        <v>47.878189989521132</v>
      </c>
      <c r="P60" s="33">
        <f t="shared" si="18"/>
        <v>45.822389507242576</v>
      </c>
      <c r="Q60" s="142">
        <f t="shared" si="18"/>
        <v>185.46355802897031</v>
      </c>
      <c r="R60" s="142">
        <f t="shared" si="18"/>
        <v>187.90644100730859</v>
      </c>
      <c r="S60" s="142">
        <f t="shared" si="18"/>
        <v>211.6683441441497</v>
      </c>
      <c r="T60" s="142">
        <f t="shared" si="18"/>
        <v>236.44929239550837</v>
      </c>
      <c r="U60" s="142">
        <f t="shared" si="18"/>
        <v>277.2063944785217</v>
      </c>
      <c r="V60" s="142">
        <f t="shared" si="18"/>
        <v>347.07118437398708</v>
      </c>
      <c r="X60" s="28"/>
      <c r="Y60" s="29"/>
    </row>
    <row r="61" spans="1:25" s="26" customFormat="1" ht="13.5" thickTop="1" x14ac:dyDescent="0.2">
      <c r="A61" s="32"/>
      <c r="B61" s="25"/>
      <c r="C61" s="152"/>
      <c r="D61" s="38"/>
      <c r="E61" s="168"/>
      <c r="F61" s="38"/>
      <c r="G61" s="38"/>
      <c r="H61" s="38"/>
      <c r="I61" s="38"/>
      <c r="J61" s="38"/>
      <c r="K61" s="38"/>
      <c r="L61" s="38"/>
      <c r="M61" s="38"/>
      <c r="N61" s="38"/>
      <c r="O61" s="38"/>
      <c r="P61" s="38"/>
      <c r="Q61" s="38"/>
      <c r="R61" s="38"/>
      <c r="S61" s="38"/>
      <c r="T61" s="38"/>
      <c r="U61" s="38"/>
      <c r="V61" s="38"/>
      <c r="X61" s="28"/>
      <c r="Y61" s="29"/>
    </row>
    <row r="62" spans="1:25" s="26" customFormat="1" x14ac:dyDescent="0.2">
      <c r="A62" s="32"/>
      <c r="B62" s="25"/>
      <c r="C62" s="152"/>
      <c r="D62" s="38"/>
      <c r="E62" s="168"/>
      <c r="F62" s="38"/>
      <c r="G62" s="38"/>
      <c r="H62" s="38"/>
      <c r="I62" s="38"/>
      <c r="J62" s="38"/>
      <c r="K62" s="38"/>
      <c r="L62" s="38"/>
      <c r="M62" s="38"/>
      <c r="N62" s="38"/>
      <c r="O62" s="38"/>
      <c r="P62" s="38"/>
      <c r="Q62" s="38"/>
      <c r="R62" s="38"/>
      <c r="S62" s="38"/>
      <c r="T62" s="38"/>
      <c r="U62" s="38"/>
      <c r="V62" s="38"/>
      <c r="X62" s="28"/>
      <c r="Y62" s="29"/>
    </row>
    <row r="63" spans="1:25" s="26" customFormat="1" x14ac:dyDescent="0.2">
      <c r="A63" s="32"/>
      <c r="B63" s="25"/>
      <c r="C63" s="152"/>
      <c r="D63" s="38"/>
      <c r="E63" s="168"/>
      <c r="F63" s="38"/>
      <c r="G63" s="38"/>
      <c r="H63" s="38"/>
      <c r="I63" s="38"/>
      <c r="J63" s="38"/>
      <c r="K63" s="38"/>
      <c r="L63" s="38"/>
      <c r="M63" s="38"/>
      <c r="N63" s="38"/>
      <c r="O63" s="38"/>
      <c r="P63" s="38"/>
      <c r="Q63" s="38"/>
      <c r="R63" s="38"/>
      <c r="S63" s="38"/>
      <c r="T63" s="38"/>
      <c r="U63" s="38"/>
      <c r="V63" s="38"/>
      <c r="X63" s="28"/>
      <c r="Y63" s="29"/>
    </row>
    <row r="64" spans="1:25" s="26" customFormat="1" x14ac:dyDescent="0.2">
      <c r="A64" s="32"/>
      <c r="B64" s="25"/>
      <c r="C64" s="152"/>
      <c r="D64" s="38"/>
      <c r="E64" s="168"/>
      <c r="F64" s="38"/>
      <c r="G64" s="38"/>
      <c r="H64" s="38"/>
      <c r="I64" s="38"/>
      <c r="J64" s="38"/>
      <c r="K64" s="38"/>
      <c r="L64" s="38"/>
      <c r="M64" s="38"/>
      <c r="N64" s="38"/>
      <c r="O64" s="38"/>
      <c r="P64" s="38"/>
      <c r="Q64" s="38"/>
      <c r="R64" s="38"/>
      <c r="S64" s="38"/>
      <c r="T64" s="38"/>
      <c r="U64" s="38"/>
      <c r="V64" s="38"/>
      <c r="X64" s="28"/>
      <c r="Y64" s="29"/>
    </row>
    <row r="65" spans="1:25" s="2" customFormat="1" x14ac:dyDescent="0.2">
      <c r="A65" s="31"/>
      <c r="B65" s="3"/>
      <c r="C65" s="145"/>
      <c r="D65" s="157"/>
      <c r="E65" s="164"/>
      <c r="F65" s="12"/>
      <c r="G65" s="12"/>
      <c r="H65" s="12"/>
      <c r="I65" s="12"/>
      <c r="J65" s="12"/>
      <c r="K65" s="12"/>
      <c r="L65" s="12"/>
      <c r="M65" s="12"/>
      <c r="N65" s="12"/>
      <c r="O65" s="12"/>
      <c r="P65" s="12"/>
      <c r="Q65" s="12"/>
      <c r="R65" s="12"/>
      <c r="S65" s="12"/>
      <c r="T65" s="12"/>
      <c r="U65" s="12"/>
      <c r="V65" s="12"/>
      <c r="X65" s="39" t="s">
        <v>55</v>
      </c>
      <c r="Y65" s="40" t="s">
        <v>49</v>
      </c>
    </row>
    <row r="66" spans="1:25" x14ac:dyDescent="0.2">
      <c r="B66" s="54" t="s">
        <v>22</v>
      </c>
      <c r="C66" s="4"/>
      <c r="D66" s="158"/>
      <c r="E66" s="172"/>
      <c r="F66" s="14"/>
      <c r="G66" s="14"/>
      <c r="H66" s="14"/>
      <c r="I66" s="14"/>
      <c r="J66" s="14"/>
      <c r="K66" s="14"/>
      <c r="L66" s="14"/>
      <c r="M66" s="14"/>
      <c r="N66" s="14"/>
      <c r="O66" s="14"/>
      <c r="P66" s="14"/>
      <c r="Q66" s="14"/>
      <c r="R66" s="14"/>
      <c r="S66" s="14"/>
      <c r="T66" s="14"/>
      <c r="U66" s="14"/>
      <c r="V66" s="14"/>
      <c r="X66" s="41" t="s">
        <v>22</v>
      </c>
      <c r="Y66" s="42" t="s">
        <v>48</v>
      </c>
    </row>
    <row r="67" spans="1:25" x14ac:dyDescent="0.2">
      <c r="A67" s="17" t="s">
        <v>42</v>
      </c>
      <c r="B67" s="1" t="s">
        <v>87</v>
      </c>
      <c r="C67" s="153">
        <v>250</v>
      </c>
      <c r="D67" s="158">
        <v>45</v>
      </c>
      <c r="E67" s="172">
        <v>25</v>
      </c>
      <c r="F67" s="14">
        <v>25</v>
      </c>
      <c r="G67" s="14">
        <v>25</v>
      </c>
      <c r="H67" s="14">
        <v>25</v>
      </c>
      <c r="I67" s="14">
        <f>250-(+D67+E67+F67+G67+H67)</f>
        <v>105</v>
      </c>
      <c r="J67" s="14"/>
      <c r="K67" s="14"/>
      <c r="L67" s="14"/>
      <c r="M67" s="14"/>
      <c r="N67" s="14"/>
      <c r="O67" s="14"/>
      <c r="P67" s="14"/>
      <c r="Q67" s="14"/>
      <c r="R67" s="14"/>
      <c r="S67" s="14"/>
      <c r="T67" s="14"/>
      <c r="U67" s="14"/>
      <c r="V67" s="14"/>
      <c r="X67" s="10">
        <f>+C67-D67-E67</f>
        <v>180</v>
      </c>
      <c r="Y67" s="5">
        <f>+X67*0.044</f>
        <v>7.92</v>
      </c>
    </row>
    <row r="68" spans="1:25" x14ac:dyDescent="0.2">
      <c r="A68" s="17" t="s">
        <v>42</v>
      </c>
      <c r="B68" s="1" t="s">
        <v>88</v>
      </c>
      <c r="C68" s="153">
        <v>16</v>
      </c>
      <c r="D68" s="158">
        <v>16</v>
      </c>
      <c r="E68" s="173">
        <v>-239</v>
      </c>
      <c r="F68" s="14"/>
      <c r="G68" s="14"/>
      <c r="H68" s="14"/>
      <c r="I68" s="36">
        <v>239</v>
      </c>
      <c r="J68" s="14"/>
      <c r="K68" s="14"/>
      <c r="L68" s="14"/>
      <c r="M68" s="143">
        <v>-150</v>
      </c>
      <c r="N68" s="14"/>
      <c r="O68" s="14"/>
      <c r="P68" s="143">
        <v>150</v>
      </c>
      <c r="Q68" s="14"/>
      <c r="R68" s="14"/>
      <c r="S68" s="14"/>
      <c r="T68" s="14"/>
      <c r="U68" s="14"/>
      <c r="V68" s="14"/>
      <c r="X68" s="10">
        <v>239</v>
      </c>
      <c r="Y68" s="5">
        <f>+X68*0.044</f>
        <v>10.516</v>
      </c>
    </row>
    <row r="69" spans="1:25" x14ac:dyDescent="0.2">
      <c r="A69" s="17" t="s">
        <v>42</v>
      </c>
      <c r="B69" s="1" t="s">
        <v>25</v>
      </c>
      <c r="C69" s="153">
        <v>35</v>
      </c>
      <c r="D69" s="158">
        <v>35</v>
      </c>
      <c r="E69" s="172"/>
      <c r="F69" s="14"/>
      <c r="G69" s="14"/>
      <c r="H69" s="14"/>
      <c r="I69" s="14"/>
      <c r="J69" s="14"/>
      <c r="K69" s="14"/>
      <c r="L69" s="14"/>
      <c r="M69" s="14"/>
      <c r="N69" s="14"/>
      <c r="O69" s="14"/>
      <c r="P69" s="14"/>
      <c r="Q69" s="14"/>
      <c r="R69" s="14"/>
      <c r="S69" s="14"/>
      <c r="T69" s="14"/>
      <c r="U69" s="14"/>
      <c r="V69" s="14"/>
      <c r="X69" s="10">
        <f>+C69-D69</f>
        <v>0</v>
      </c>
    </row>
    <row r="70" spans="1:25" x14ac:dyDescent="0.2">
      <c r="A70" s="17"/>
      <c r="B70" s="1" t="s">
        <v>114</v>
      </c>
      <c r="C70" s="153"/>
      <c r="D70" s="158"/>
      <c r="E70" s="172">
        <v>0.3</v>
      </c>
      <c r="F70" s="14"/>
      <c r="G70" s="14"/>
      <c r="H70" s="14"/>
      <c r="I70" s="14"/>
      <c r="J70" s="14"/>
      <c r="K70" s="14"/>
      <c r="L70" s="14"/>
      <c r="M70" s="14"/>
      <c r="N70" s="14"/>
      <c r="O70" s="14"/>
      <c r="P70" s="14"/>
      <c r="Q70" s="14"/>
      <c r="R70" s="14"/>
      <c r="S70" s="14"/>
      <c r="T70" s="14"/>
      <c r="U70" s="14"/>
      <c r="V70" s="14"/>
    </row>
    <row r="71" spans="1:25" x14ac:dyDescent="0.2">
      <c r="A71" s="17" t="s">
        <v>42</v>
      </c>
      <c r="B71" s="102" t="s">
        <v>34</v>
      </c>
      <c r="C71" s="154">
        <f>+X71</f>
        <v>184</v>
      </c>
      <c r="D71" s="158"/>
      <c r="E71" s="172"/>
      <c r="F71" s="14"/>
      <c r="G71" s="14"/>
      <c r="H71" s="14"/>
      <c r="I71" s="14"/>
      <c r="J71" s="14"/>
      <c r="K71" s="14"/>
      <c r="L71" s="14"/>
      <c r="M71" s="14"/>
      <c r="N71" s="14"/>
      <c r="O71" s="14"/>
      <c r="P71" s="14"/>
      <c r="Q71" s="14"/>
      <c r="R71" s="14"/>
      <c r="S71" s="14">
        <v>184</v>
      </c>
      <c r="T71" s="14"/>
      <c r="U71" s="14"/>
      <c r="V71" s="14"/>
      <c r="X71" s="10">
        <f t="shared" ref="X71:X80" si="19">SUM(D71:W71)</f>
        <v>184</v>
      </c>
      <c r="Y71" s="5">
        <f>+X71*0.0625</f>
        <v>11.5</v>
      </c>
    </row>
    <row r="72" spans="1:25" x14ac:dyDescent="0.2">
      <c r="A72" s="17" t="s">
        <v>42</v>
      </c>
      <c r="B72" s="19" t="s">
        <v>14</v>
      </c>
      <c r="C72" s="153"/>
      <c r="D72" s="158"/>
      <c r="E72" s="172"/>
      <c r="F72" s="14"/>
      <c r="G72" s="14"/>
      <c r="H72" s="14"/>
      <c r="I72" s="14"/>
      <c r="J72" s="14"/>
      <c r="K72" s="14"/>
      <c r="L72" s="14"/>
      <c r="M72" s="14"/>
      <c r="N72" s="14"/>
      <c r="O72" s="14"/>
      <c r="P72" s="14"/>
      <c r="Q72" s="14"/>
      <c r="R72" s="14"/>
      <c r="S72" s="14"/>
      <c r="T72" s="14"/>
      <c r="U72" s="14"/>
      <c r="V72" s="14"/>
    </row>
    <row r="73" spans="1:25" x14ac:dyDescent="0.2">
      <c r="A73" s="17" t="s">
        <v>42</v>
      </c>
      <c r="B73" s="7" t="s">
        <v>27</v>
      </c>
      <c r="C73" s="154">
        <v>130</v>
      </c>
      <c r="D73" s="158"/>
      <c r="E73" s="172"/>
      <c r="F73" s="14"/>
      <c r="G73" s="14"/>
      <c r="H73" s="14"/>
      <c r="I73" s="14"/>
      <c r="J73" s="14"/>
      <c r="K73" s="14">
        <v>130</v>
      </c>
      <c r="L73" s="14"/>
      <c r="M73" s="14"/>
      <c r="N73" s="14"/>
      <c r="O73" s="14"/>
      <c r="P73" s="14"/>
      <c r="Q73" s="14"/>
      <c r="R73" s="14"/>
      <c r="S73" s="14"/>
      <c r="T73" s="14"/>
      <c r="U73" s="14"/>
      <c r="V73" s="14"/>
      <c r="X73" s="10">
        <f t="shared" si="19"/>
        <v>130</v>
      </c>
      <c r="Y73" s="5">
        <f>+X73*0.065</f>
        <v>8.4500000000000011</v>
      </c>
    </row>
    <row r="74" spans="1:25" x14ac:dyDescent="0.2">
      <c r="A74" s="17" t="s">
        <v>42</v>
      </c>
      <c r="B74" s="1" t="s">
        <v>26</v>
      </c>
      <c r="C74" s="154">
        <v>125</v>
      </c>
      <c r="D74" s="158"/>
      <c r="E74" s="172"/>
      <c r="F74" s="14"/>
      <c r="G74" s="14"/>
      <c r="H74" s="14"/>
      <c r="I74" s="14"/>
      <c r="J74" s="14"/>
      <c r="K74" s="14"/>
      <c r="L74" s="14">
        <v>125</v>
      </c>
      <c r="M74" s="14"/>
      <c r="N74" s="14"/>
      <c r="O74" s="14"/>
      <c r="P74" s="14"/>
      <c r="Q74" s="14"/>
      <c r="R74" s="14"/>
      <c r="S74" s="14"/>
      <c r="T74" s="14"/>
      <c r="U74" s="14"/>
      <c r="V74" s="14"/>
      <c r="X74" s="10">
        <f t="shared" si="19"/>
        <v>125</v>
      </c>
      <c r="Y74" s="5">
        <f>+X74*0.0685</f>
        <v>8.5625</v>
      </c>
    </row>
    <row r="75" spans="1:25" x14ac:dyDescent="0.2">
      <c r="A75" s="17" t="s">
        <v>42</v>
      </c>
      <c r="B75" s="1" t="s">
        <v>28</v>
      </c>
      <c r="C75" s="154">
        <v>255</v>
      </c>
      <c r="D75" s="158"/>
      <c r="E75" s="172"/>
      <c r="F75" s="14"/>
      <c r="G75" s="14"/>
      <c r="H75" s="14"/>
      <c r="I75" s="14"/>
      <c r="J75" s="14"/>
      <c r="K75" s="14"/>
      <c r="L75" s="14"/>
      <c r="M75" s="14"/>
      <c r="N75" s="14">
        <v>255</v>
      </c>
      <c r="O75" s="14"/>
      <c r="P75" s="14"/>
      <c r="Q75" s="14"/>
      <c r="R75" s="14"/>
      <c r="S75" s="14"/>
      <c r="T75" s="14"/>
      <c r="U75" s="14"/>
      <c r="V75" s="14"/>
      <c r="X75" s="10">
        <f t="shared" si="19"/>
        <v>255</v>
      </c>
      <c r="Y75" s="5">
        <f>+X75*0.0571</f>
        <v>14.560499999999999</v>
      </c>
    </row>
    <row r="76" spans="1:25" x14ac:dyDescent="0.2">
      <c r="A76" s="17" t="s">
        <v>42</v>
      </c>
      <c r="B76" s="1" t="s">
        <v>29</v>
      </c>
      <c r="C76" s="154">
        <v>138</v>
      </c>
      <c r="D76" s="158"/>
      <c r="E76" s="172"/>
      <c r="F76" s="14"/>
      <c r="G76" s="14"/>
      <c r="H76" s="14"/>
      <c r="I76" s="14"/>
      <c r="J76" s="14"/>
      <c r="K76" s="14"/>
      <c r="L76" s="14"/>
      <c r="M76" s="14"/>
      <c r="N76" s="14"/>
      <c r="O76" s="14"/>
      <c r="P76" s="14"/>
      <c r="Q76" s="14">
        <v>138</v>
      </c>
      <c r="R76" s="14"/>
      <c r="S76" s="14"/>
      <c r="T76" s="14"/>
      <c r="U76" s="14"/>
      <c r="V76" s="14"/>
      <c r="X76" s="10">
        <f t="shared" si="19"/>
        <v>138</v>
      </c>
      <c r="Y76" s="5">
        <f>+X76*0.073</f>
        <v>10.074</v>
      </c>
    </row>
    <row r="77" spans="1:25" x14ac:dyDescent="0.2">
      <c r="A77" s="17" t="s">
        <v>42</v>
      </c>
      <c r="B77" s="1" t="s">
        <v>30</v>
      </c>
      <c r="C77" s="154">
        <v>320</v>
      </c>
      <c r="D77" s="158"/>
      <c r="E77" s="172"/>
      <c r="F77" s="14"/>
      <c r="G77" s="14"/>
      <c r="H77" s="14"/>
      <c r="I77" s="14"/>
      <c r="J77" s="14"/>
      <c r="K77" s="14"/>
      <c r="L77" s="14"/>
      <c r="M77" s="14"/>
      <c r="N77" s="14"/>
      <c r="O77" s="14"/>
      <c r="P77" s="14"/>
      <c r="Q77" s="14"/>
      <c r="R77" s="14">
        <v>320</v>
      </c>
      <c r="S77" s="14"/>
      <c r="T77" s="14"/>
      <c r="U77" s="14"/>
      <c r="V77" s="14"/>
      <c r="X77" s="10">
        <f t="shared" si="19"/>
        <v>320</v>
      </c>
      <c r="Y77" s="5">
        <f>+X77*0.0525</f>
        <v>16.8</v>
      </c>
    </row>
    <row r="78" spans="1:25" x14ac:dyDescent="0.2">
      <c r="A78" s="17" t="s">
        <v>42</v>
      </c>
      <c r="B78" s="1" t="s">
        <v>31</v>
      </c>
      <c r="C78" s="154">
        <v>121</v>
      </c>
      <c r="D78" s="158"/>
      <c r="E78" s="172"/>
      <c r="F78" s="14"/>
      <c r="G78" s="14"/>
      <c r="H78" s="14"/>
      <c r="I78" s="14"/>
      <c r="J78" s="14"/>
      <c r="K78" s="14"/>
      <c r="L78" s="14"/>
      <c r="M78" s="14"/>
      <c r="N78" s="14"/>
      <c r="O78" s="14"/>
      <c r="P78" s="14"/>
      <c r="Q78" s="14"/>
      <c r="R78" s="14"/>
      <c r="S78" s="14"/>
      <c r="T78" s="14"/>
      <c r="U78" s="14">
        <v>121</v>
      </c>
      <c r="V78" s="14"/>
      <c r="X78" s="10">
        <f t="shared" si="19"/>
        <v>121</v>
      </c>
      <c r="Y78" s="5">
        <f>+X78*0.0585</f>
        <v>7.0785</v>
      </c>
    </row>
    <row r="79" spans="1:25" x14ac:dyDescent="0.2">
      <c r="A79" s="17" t="s">
        <v>42</v>
      </c>
      <c r="B79" s="1" t="s">
        <v>32</v>
      </c>
      <c r="C79" s="154">
        <v>300</v>
      </c>
      <c r="D79" s="158"/>
      <c r="E79" s="172"/>
      <c r="F79" s="14"/>
      <c r="G79" s="14"/>
      <c r="H79" s="14"/>
      <c r="I79" s="14"/>
      <c r="J79" s="14"/>
      <c r="K79" s="14"/>
      <c r="L79" s="14"/>
      <c r="M79" s="14"/>
      <c r="N79" s="14"/>
      <c r="O79" s="14"/>
      <c r="P79" s="14"/>
      <c r="Q79" s="14"/>
      <c r="R79" s="14"/>
      <c r="S79" s="14"/>
      <c r="T79" s="14"/>
      <c r="U79" s="14"/>
      <c r="V79" s="14">
        <v>300</v>
      </c>
      <c r="X79" s="10">
        <f t="shared" si="19"/>
        <v>300</v>
      </c>
      <c r="Y79" s="5">
        <f>+X79*0.0775</f>
        <v>23.25</v>
      </c>
    </row>
    <row r="80" spans="1:25" x14ac:dyDescent="0.2">
      <c r="A80" s="17" t="s">
        <v>42</v>
      </c>
      <c r="B80" s="1" t="s">
        <v>33</v>
      </c>
      <c r="C80" s="154">
        <v>17</v>
      </c>
      <c r="D80" s="158"/>
      <c r="E80" s="172"/>
      <c r="F80" s="14"/>
      <c r="G80" s="14"/>
      <c r="H80" s="14"/>
      <c r="I80" s="14"/>
      <c r="J80" s="14"/>
      <c r="K80" s="14"/>
      <c r="L80" s="14"/>
      <c r="M80" s="14"/>
      <c r="N80" s="14"/>
      <c r="O80" s="14"/>
      <c r="P80" s="14"/>
      <c r="Q80" s="14"/>
      <c r="R80" s="14"/>
      <c r="S80" s="14"/>
      <c r="T80" s="14"/>
      <c r="U80" s="14"/>
      <c r="V80" s="14">
        <v>17</v>
      </c>
      <c r="X80" s="10">
        <f t="shared" si="19"/>
        <v>17</v>
      </c>
      <c r="Y80" s="5">
        <f>+X80*0.0625</f>
        <v>1.0625</v>
      </c>
    </row>
    <row r="81" spans="1:25" x14ac:dyDescent="0.2">
      <c r="B81" s="19" t="s">
        <v>69</v>
      </c>
      <c r="C81" s="35">
        <f>SUM(C67:C80)</f>
        <v>1891</v>
      </c>
      <c r="D81" s="158"/>
      <c r="E81" s="172"/>
      <c r="F81" s="14"/>
      <c r="G81" s="14"/>
      <c r="H81" s="14"/>
      <c r="I81" s="14"/>
      <c r="J81" s="14"/>
      <c r="K81" s="14"/>
      <c r="L81" s="14"/>
      <c r="M81" s="14"/>
      <c r="N81" s="14"/>
      <c r="O81" s="14"/>
      <c r="P81" s="14"/>
      <c r="Q81" s="14"/>
      <c r="R81" s="14"/>
      <c r="S81" s="14"/>
      <c r="T81" s="14"/>
      <c r="U81" s="14"/>
      <c r="V81" s="14"/>
    </row>
    <row r="82" spans="1:25" s="16" customFormat="1" ht="13.5" thickBot="1" x14ac:dyDescent="0.25">
      <c r="A82" s="17" t="s">
        <v>45</v>
      </c>
      <c r="B82" s="16" t="s">
        <v>53</v>
      </c>
      <c r="C82" s="155" t="s">
        <v>51</v>
      </c>
      <c r="D82" s="118">
        <f t="shared" ref="D82:R82" si="20">-SUM(D65:D81)+D60</f>
        <v>84.150500000000022</v>
      </c>
      <c r="E82" s="174">
        <f t="shared" si="20"/>
        <v>225.89449999999999</v>
      </c>
      <c r="F82" s="118">
        <f t="shared" si="20"/>
        <v>42.996326666666704</v>
      </c>
      <c r="G82" s="118">
        <f t="shared" si="20"/>
        <v>38.44468980066668</v>
      </c>
      <c r="H82" s="118">
        <f t="shared" si="20"/>
        <v>34.19939945258966</v>
      </c>
      <c r="I82" s="118">
        <f t="shared" si="20"/>
        <v>-302.85716172713791</v>
      </c>
      <c r="J82" s="118">
        <f t="shared" si="20"/>
        <v>52.378344023957212</v>
      </c>
      <c r="K82" s="118">
        <f t="shared" si="20"/>
        <v>-79.240300468344415</v>
      </c>
      <c r="L82" s="118">
        <f t="shared" si="20"/>
        <v>-74.999207683288418</v>
      </c>
      <c r="M82" s="118">
        <f t="shared" si="20"/>
        <v>185.83655598942522</v>
      </c>
      <c r="N82" s="118">
        <f t="shared" si="20"/>
        <v>-204.9056905049309</v>
      </c>
      <c r="O82" s="118">
        <f t="shared" si="20"/>
        <v>47.878189989521132</v>
      </c>
      <c r="P82" s="118">
        <f t="shared" si="20"/>
        <v>-104.17761049275742</v>
      </c>
      <c r="Q82" s="118">
        <f t="shared" si="20"/>
        <v>47.463558028970311</v>
      </c>
      <c r="R82" s="118">
        <f t="shared" si="20"/>
        <v>-132.09355899269141</v>
      </c>
      <c r="S82" s="118">
        <f>-SUM(S65:S81)+S60</f>
        <v>27.6683441441497</v>
      </c>
      <c r="T82" s="118">
        <f>-SUM(T65:T81)+T60</f>
        <v>236.44929239550837</v>
      </c>
      <c r="U82" s="118">
        <f>-SUM(U65:U81)+U60</f>
        <v>156.2063944785217</v>
      </c>
      <c r="V82" s="118">
        <f>-SUM(V65:V81)+V60</f>
        <v>30.07118437398708</v>
      </c>
      <c r="W82" s="35"/>
      <c r="X82" s="57">
        <f>SUM(X65:X81)</f>
        <v>2009</v>
      </c>
      <c r="Y82" s="57">
        <f>SUM(Y65:Y81)</f>
        <v>119.774</v>
      </c>
    </row>
    <row r="83" spans="1:25" ht="14.25" thickTop="1" thickBot="1" x14ac:dyDescent="0.25">
      <c r="C83" s="4"/>
      <c r="D83" s="158"/>
      <c r="E83" s="172"/>
      <c r="F83" s="14"/>
      <c r="G83" s="14"/>
      <c r="H83" s="14"/>
      <c r="I83" s="14"/>
      <c r="J83" s="14"/>
      <c r="K83" s="14"/>
      <c r="L83" s="14"/>
      <c r="M83" s="14"/>
      <c r="N83" s="14"/>
      <c r="O83" s="14"/>
      <c r="P83" s="14"/>
      <c r="Q83" s="14"/>
      <c r="R83" s="14"/>
      <c r="S83" s="14"/>
      <c r="T83" s="14"/>
      <c r="U83" s="14"/>
      <c r="V83" s="14"/>
      <c r="W83" s="4"/>
    </row>
    <row r="84" spans="1:25" s="16" customFormat="1" ht="13.5" thickBot="1" x14ac:dyDescent="0.25">
      <c r="A84" s="115" t="s">
        <v>52</v>
      </c>
      <c r="B84" s="116" t="s">
        <v>23</v>
      </c>
      <c r="C84" s="156"/>
      <c r="D84" s="159">
        <f>+D82</f>
        <v>84.150500000000022</v>
      </c>
      <c r="E84" s="119">
        <f>+D84+E82</f>
        <v>310.04500000000002</v>
      </c>
      <c r="F84" s="120">
        <f t="shared" ref="F84:R84" si="21">+E84+F82</f>
        <v>353.04132666666669</v>
      </c>
      <c r="G84" s="120">
        <f t="shared" si="21"/>
        <v>391.48601646733334</v>
      </c>
      <c r="H84" s="120">
        <f t="shared" si="21"/>
        <v>425.685415919923</v>
      </c>
      <c r="I84" s="120">
        <f t="shared" si="21"/>
        <v>122.8282541927851</v>
      </c>
      <c r="J84" s="120">
        <f t="shared" si="21"/>
        <v>175.20659821674229</v>
      </c>
      <c r="K84" s="120">
        <f t="shared" si="21"/>
        <v>95.966297748397878</v>
      </c>
      <c r="L84" s="121">
        <f t="shared" si="21"/>
        <v>20.96709006510946</v>
      </c>
      <c r="M84" s="120">
        <f t="shared" si="21"/>
        <v>206.80364605453468</v>
      </c>
      <c r="N84" s="121">
        <f t="shared" si="21"/>
        <v>1.897955549603779</v>
      </c>
      <c r="O84" s="120">
        <f t="shared" si="21"/>
        <v>49.776145539124911</v>
      </c>
      <c r="P84" s="120">
        <f t="shared" si="21"/>
        <v>-54.401464953632512</v>
      </c>
      <c r="Q84" s="120">
        <f t="shared" si="21"/>
        <v>-6.9379069246622009</v>
      </c>
      <c r="R84" s="121">
        <f t="shared" si="21"/>
        <v>-139.03146591735361</v>
      </c>
      <c r="S84" s="140">
        <f>+R84+S82</f>
        <v>-111.36312177320391</v>
      </c>
      <c r="T84" s="140">
        <f>+S84+T82</f>
        <v>125.08617062230445</v>
      </c>
      <c r="U84" s="140">
        <f>+T84+U82</f>
        <v>281.29256510082615</v>
      </c>
      <c r="V84" s="140">
        <f>+U84+V82</f>
        <v>311.36374947481323</v>
      </c>
      <c r="W84" s="35"/>
      <c r="X84" s="37"/>
      <c r="Y84" s="18"/>
    </row>
    <row r="85" spans="1:25" s="16" customFormat="1" x14ac:dyDescent="0.2">
      <c r="A85" s="17"/>
      <c r="D85" s="105"/>
      <c r="E85" s="36"/>
      <c r="F85" s="36"/>
      <c r="G85" s="36"/>
      <c r="H85" s="36"/>
      <c r="I85" s="36"/>
      <c r="J85" s="36"/>
      <c r="K85" s="36"/>
      <c r="L85" s="105"/>
      <c r="M85" s="36"/>
      <c r="N85" s="105"/>
      <c r="O85" s="36"/>
      <c r="P85" s="36"/>
      <c r="Q85" s="36"/>
      <c r="R85" s="36"/>
      <c r="S85" s="36"/>
      <c r="T85" s="36"/>
      <c r="U85" s="36"/>
      <c r="V85" s="36"/>
      <c r="W85" s="35"/>
      <c r="X85" s="37"/>
      <c r="Y85" s="18"/>
    </row>
    <row r="86" spans="1:25" s="16" customFormat="1" x14ac:dyDescent="0.2">
      <c r="A86" s="17"/>
      <c r="B86" s="123" t="s">
        <v>104</v>
      </c>
      <c r="C86" s="124"/>
      <c r="D86" s="125"/>
      <c r="E86" s="125">
        <f>+((+G95+G96+G97)/4)</f>
        <v>5.5848750000000003</v>
      </c>
      <c r="F86" s="125"/>
      <c r="G86" s="125"/>
      <c r="H86" s="125"/>
      <c r="I86" s="125"/>
      <c r="J86" s="125"/>
      <c r="K86" s="125"/>
      <c r="L86" s="125"/>
      <c r="M86" s="125"/>
      <c r="N86" s="125"/>
      <c r="O86" s="125"/>
      <c r="P86" s="125"/>
      <c r="Q86" s="125"/>
      <c r="R86" s="126"/>
      <c r="S86" s="141"/>
      <c r="T86" s="141"/>
      <c r="U86" s="141"/>
      <c r="V86" s="141"/>
      <c r="W86" s="35"/>
      <c r="X86" s="37"/>
      <c r="Y86" s="18"/>
    </row>
    <row r="87" spans="1:25" s="16" customFormat="1" x14ac:dyDescent="0.2">
      <c r="A87" s="17"/>
      <c r="D87" s="105"/>
      <c r="E87" s="36"/>
      <c r="F87" s="36"/>
      <c r="G87" s="36"/>
      <c r="H87" s="36"/>
      <c r="I87" s="36"/>
      <c r="J87" s="36"/>
      <c r="K87" s="36"/>
      <c r="L87" s="105"/>
      <c r="M87" s="36"/>
      <c r="N87" s="105"/>
      <c r="O87" s="36"/>
      <c r="P87" s="36"/>
      <c r="Q87" s="36"/>
      <c r="R87" s="36"/>
      <c r="S87" s="36"/>
      <c r="T87" s="36"/>
      <c r="U87" s="36"/>
      <c r="V87" s="36"/>
      <c r="W87" s="35"/>
      <c r="X87" s="37"/>
      <c r="Y87" s="18"/>
    </row>
    <row r="88" spans="1:25" x14ac:dyDescent="0.2">
      <c r="B88" s="55" t="s">
        <v>50</v>
      </c>
    </row>
    <row r="89" spans="1:25" x14ac:dyDescent="0.2">
      <c r="B89" s="55"/>
      <c r="U89" t="s">
        <v>95</v>
      </c>
    </row>
    <row r="90" spans="1:25" x14ac:dyDescent="0.2">
      <c r="B90" s="55"/>
      <c r="U90" t="s">
        <v>96</v>
      </c>
      <c r="W90" t="s">
        <v>124</v>
      </c>
      <c r="X90" s="10">
        <f>-310-X91</f>
        <v>-71</v>
      </c>
    </row>
    <row r="91" spans="1:25" x14ac:dyDescent="0.2">
      <c r="B91" s="55"/>
      <c r="D91" s="89"/>
      <c r="E91" s="90" t="s">
        <v>66</v>
      </c>
      <c r="F91" s="91"/>
      <c r="G91" s="92"/>
      <c r="W91" t="s">
        <v>98</v>
      </c>
      <c r="X91" s="10">
        <v>-239</v>
      </c>
    </row>
    <row r="92" spans="1:25" x14ac:dyDescent="0.2">
      <c r="B92" s="55"/>
      <c r="D92" s="62" t="s">
        <v>24</v>
      </c>
      <c r="E92" s="88" t="s">
        <v>94</v>
      </c>
      <c r="F92" s="63" t="s">
        <v>93</v>
      </c>
      <c r="G92" s="63" t="s">
        <v>19</v>
      </c>
      <c r="U92" t="s">
        <v>100</v>
      </c>
      <c r="X92" s="10">
        <v>-184</v>
      </c>
    </row>
    <row r="93" spans="1:25" ht="13.5" thickBot="1" x14ac:dyDescent="0.25">
      <c r="B93" s="55"/>
      <c r="C93" s="6" t="s">
        <v>15</v>
      </c>
      <c r="D93" s="6">
        <v>1</v>
      </c>
      <c r="E93" s="14">
        <v>251.1</v>
      </c>
      <c r="F93" s="5">
        <v>10.045871999999999</v>
      </c>
      <c r="G93" s="5">
        <f>10*25*0.0425</f>
        <v>10.625</v>
      </c>
      <c r="U93" t="s">
        <v>99</v>
      </c>
      <c r="X93" s="93">
        <f>SUM(X82:X92)</f>
        <v>1515</v>
      </c>
    </row>
    <row r="94" spans="1:25" ht="13.5" thickTop="1" x14ac:dyDescent="0.2">
      <c r="B94" s="55"/>
      <c r="C94" s="6" t="s">
        <v>40</v>
      </c>
      <c r="D94" s="6">
        <v>2</v>
      </c>
      <c r="E94" s="14">
        <v>151.6</v>
      </c>
      <c r="F94" s="5">
        <v>6.0621280000000004</v>
      </c>
      <c r="G94" s="5">
        <f>6*1.25</f>
        <v>7.5</v>
      </c>
    </row>
    <row r="95" spans="1:25" ht="13.5" thickBot="1" x14ac:dyDescent="0.25">
      <c r="B95" s="55"/>
      <c r="C95" s="6" t="s">
        <v>41</v>
      </c>
      <c r="D95" s="6">
        <v>3</v>
      </c>
      <c r="E95" s="14">
        <f>203</f>
        <v>203</v>
      </c>
      <c r="F95" s="5">
        <v>8.1209000000000007</v>
      </c>
      <c r="G95" s="5">
        <f>203*0.0675</f>
        <v>13.702500000000001</v>
      </c>
    </row>
    <row r="96" spans="1:25" ht="18.75" thickBot="1" x14ac:dyDescent="0.3">
      <c r="C96" s="6" t="s">
        <v>42</v>
      </c>
      <c r="D96" s="6">
        <v>5</v>
      </c>
      <c r="E96" s="14">
        <f>123</f>
        <v>123</v>
      </c>
      <c r="F96" s="5">
        <v>4.9199200000000003</v>
      </c>
      <c r="G96" s="5">
        <f>123*0.069</f>
        <v>8.4870000000000001</v>
      </c>
      <c r="S96" s="19" t="s">
        <v>68</v>
      </c>
      <c r="T96" s="102" t="s">
        <v>58</v>
      </c>
      <c r="U96" t="s">
        <v>57</v>
      </c>
      <c r="V96" s="14">
        <f>(+$E$23+$F$23)*2*0+146.1*4</f>
        <v>584.4</v>
      </c>
      <c r="W96" s="17" t="s">
        <v>67</v>
      </c>
      <c r="X96" s="71">
        <f>+X93/+(V96)</f>
        <v>2.5924024640657084</v>
      </c>
    </row>
    <row r="97" spans="2:25" x14ac:dyDescent="0.2">
      <c r="D97" s="6">
        <v>7</v>
      </c>
      <c r="E97" s="14">
        <v>2.9</v>
      </c>
      <c r="F97" s="5">
        <v>0.38333299999999998</v>
      </c>
      <c r="G97" s="5">
        <f>3*0.05</f>
        <v>0.15000000000000002</v>
      </c>
      <c r="S97" s="1"/>
      <c r="T97" s="1"/>
      <c r="X97" s="56"/>
    </row>
    <row r="98" spans="2:25" ht="13.5" thickBot="1" x14ac:dyDescent="0.25">
      <c r="E98" s="14"/>
      <c r="X98" s="1" t="s">
        <v>62</v>
      </c>
      <c r="Y98" s="58">
        <f>+Y82*0.5</f>
        <v>59.887</v>
      </c>
    </row>
    <row r="99" spans="2:25" ht="18.75" thickBot="1" x14ac:dyDescent="0.3">
      <c r="D99" s="16" t="s">
        <v>37</v>
      </c>
      <c r="E99" s="34">
        <f>SUM(E93:E98)</f>
        <v>731.6</v>
      </c>
      <c r="F99" s="59">
        <f>SUM(F93:F98)</f>
        <v>29.532153000000005</v>
      </c>
      <c r="G99" s="59">
        <f>SUM(G93:G98)</f>
        <v>40.464500000000001</v>
      </c>
      <c r="S99" s="19" t="s">
        <v>59</v>
      </c>
      <c r="T99" s="102" t="s">
        <v>58</v>
      </c>
      <c r="U99" t="s">
        <v>57</v>
      </c>
      <c r="V99" s="14">
        <f>(+$E$23+$F$23)</f>
        <v>287.97566000000006</v>
      </c>
      <c r="X99" s="24" t="s">
        <v>60</v>
      </c>
      <c r="Y99" s="69">
        <f>+V99/Y98</f>
        <v>4.8086506253443995</v>
      </c>
    </row>
    <row r="100" spans="2:25" ht="13.5" thickTop="1" x14ac:dyDescent="0.2"/>
    <row r="101" spans="2:25" x14ac:dyDescent="0.2">
      <c r="B101" s="86"/>
    </row>
    <row r="106" spans="2:25" x14ac:dyDescent="0.2">
      <c r="L106" s="85"/>
    </row>
  </sheetData>
  <phoneticPr fontId="7" type="noConversion"/>
  <pageMargins left="0.75" right="0.75" top="1" bottom="1" header="0.5" footer="0.5"/>
  <pageSetup paperSize="9" scale="49" fitToHeight="2" orientation="landscape" horizontalDpi="0" verticalDpi="0" r:id="rId1"/>
  <headerFooter alignWithMargins="0"/>
  <ignoredErrors>
    <ignoredError sqref="E20" formula="1"/>
  </ignoredErrors>
  <legacyDrawing r:id="rId2"/>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9">
    <pageSetUpPr fitToPage="1"/>
  </sheetPr>
  <dimension ref="A1:Y102"/>
  <sheetViews>
    <sheetView workbookViewId="0"/>
  </sheetViews>
  <sheetFormatPr defaultRowHeight="12.75" x14ac:dyDescent="0.2"/>
  <cols>
    <col min="1" max="1" width="4.5703125" style="6" customWidth="1"/>
    <col min="2" max="2" width="21.42578125" customWidth="1"/>
    <col min="3" max="3" width="8" customWidth="1"/>
    <col min="5" max="5" width="10.85546875" customWidth="1"/>
    <col min="6" max="16" width="9.7109375" customWidth="1"/>
    <col min="17" max="22" width="11.28515625" customWidth="1"/>
    <col min="23" max="23" width="8.28515625" customWidth="1"/>
    <col min="24" max="24" width="8" style="10" customWidth="1"/>
    <col min="25" max="25" width="9.140625" style="5" customWidth="1"/>
  </cols>
  <sheetData>
    <row r="1" spans="1:25" ht="33" x14ac:dyDescent="0.6">
      <c r="B1" s="113" t="s">
        <v>109</v>
      </c>
      <c r="G1" s="64"/>
      <c r="H1" s="65" t="s">
        <v>108</v>
      </c>
      <c r="I1" s="64"/>
    </row>
    <row r="2" spans="1:25" s="98" customFormat="1" ht="10.5" customHeight="1" x14ac:dyDescent="0.5">
      <c r="A2" s="31"/>
      <c r="B2" s="97"/>
      <c r="H2" s="99"/>
      <c r="X2" s="100"/>
      <c r="Y2" s="101"/>
    </row>
    <row r="3" spans="1:25" ht="20.25" x14ac:dyDescent="0.3">
      <c r="B3" s="114" t="s">
        <v>110</v>
      </c>
      <c r="C3" s="95"/>
      <c r="D3" s="95"/>
      <c r="E3" s="104"/>
      <c r="F3" s="96"/>
    </row>
    <row r="4" spans="1:25" s="19" customFormat="1" ht="13.5" thickBot="1" x14ac:dyDescent="0.25">
      <c r="A4" s="17"/>
      <c r="D4" s="122"/>
      <c r="E4" s="20" t="s">
        <v>1</v>
      </c>
      <c r="F4" s="20" t="s">
        <v>2</v>
      </c>
      <c r="G4" s="20" t="s">
        <v>3</v>
      </c>
      <c r="H4" s="20" t="s">
        <v>4</v>
      </c>
      <c r="I4" s="21" t="s">
        <v>5</v>
      </c>
      <c r="J4" s="21" t="s">
        <v>6</v>
      </c>
      <c r="K4" s="21" t="s">
        <v>7</v>
      </c>
      <c r="L4" s="21" t="s">
        <v>8</v>
      </c>
      <c r="M4" s="22" t="s">
        <v>9</v>
      </c>
      <c r="N4" s="22" t="s">
        <v>10</v>
      </c>
      <c r="O4" s="22" t="s">
        <v>11</v>
      </c>
      <c r="P4" s="22" t="s">
        <v>12</v>
      </c>
      <c r="Q4" s="19">
        <v>2015</v>
      </c>
      <c r="R4" s="19">
        <v>2016</v>
      </c>
      <c r="S4" s="19">
        <v>2017</v>
      </c>
      <c r="T4" s="19">
        <v>2018</v>
      </c>
      <c r="U4" s="19">
        <v>2019</v>
      </c>
      <c r="V4" s="19">
        <v>2020</v>
      </c>
      <c r="W4" s="17"/>
      <c r="X4" s="24"/>
      <c r="Y4" s="23"/>
    </row>
    <row r="5" spans="1:25" s="129" customFormat="1" ht="17.25" thickBot="1" x14ac:dyDescent="0.3">
      <c r="B5" s="136" t="s">
        <v>105</v>
      </c>
      <c r="C5" s="137"/>
      <c r="D5" s="137"/>
      <c r="E5" s="138">
        <v>4.4999999999999998E-2</v>
      </c>
      <c r="F5" s="138">
        <f>+E5</f>
        <v>4.4999999999999998E-2</v>
      </c>
      <c r="G5" s="138">
        <f t="shared" ref="G5:O5" si="0">+F5</f>
        <v>4.4999999999999998E-2</v>
      </c>
      <c r="H5" s="138">
        <f t="shared" si="0"/>
        <v>4.4999999999999998E-2</v>
      </c>
      <c r="I5" s="138">
        <f t="shared" si="0"/>
        <v>4.4999999999999998E-2</v>
      </c>
      <c r="J5" s="138">
        <f t="shared" si="0"/>
        <v>4.4999999999999998E-2</v>
      </c>
      <c r="K5" s="138">
        <f t="shared" si="0"/>
        <v>4.4999999999999998E-2</v>
      </c>
      <c r="L5" s="138">
        <f t="shared" si="0"/>
        <v>4.4999999999999998E-2</v>
      </c>
      <c r="M5" s="138">
        <f t="shared" si="0"/>
        <v>4.4999999999999998E-2</v>
      </c>
      <c r="N5" s="138">
        <f t="shared" si="0"/>
        <v>4.4999999999999998E-2</v>
      </c>
      <c r="O5" s="138">
        <f t="shared" si="0"/>
        <v>4.4999999999999998E-2</v>
      </c>
      <c r="P5" s="138">
        <f>+O5</f>
        <v>4.4999999999999998E-2</v>
      </c>
      <c r="Q5" s="138">
        <v>0.15</v>
      </c>
      <c r="R5" s="139">
        <v>0.15</v>
      </c>
      <c r="S5" s="139">
        <v>0.15</v>
      </c>
      <c r="T5" s="139">
        <v>0.15</v>
      </c>
      <c r="U5" s="139">
        <v>0.15</v>
      </c>
      <c r="V5" s="139">
        <v>0.15</v>
      </c>
      <c r="X5" s="134"/>
      <c r="Y5" s="135"/>
    </row>
    <row r="6" spans="1:25" s="129" customFormat="1" ht="17.25" thickBot="1" x14ac:dyDescent="0.3">
      <c r="B6" s="130" t="s">
        <v>106</v>
      </c>
      <c r="C6" s="131"/>
      <c r="D6" s="131"/>
      <c r="E6" s="132">
        <v>-4.3999999999999997E-2</v>
      </c>
      <c r="F6" s="132">
        <f>+E6</f>
        <v>-4.3999999999999997E-2</v>
      </c>
      <c r="G6" s="132">
        <f t="shared" ref="G6:O6" si="1">+F6</f>
        <v>-4.3999999999999997E-2</v>
      </c>
      <c r="H6" s="132">
        <f t="shared" si="1"/>
        <v>-4.3999999999999997E-2</v>
      </c>
      <c r="I6" s="132">
        <f t="shared" si="1"/>
        <v>-4.3999999999999997E-2</v>
      </c>
      <c r="J6" s="132">
        <f t="shared" si="1"/>
        <v>-4.3999999999999997E-2</v>
      </c>
      <c r="K6" s="132">
        <f t="shared" si="1"/>
        <v>-4.3999999999999997E-2</v>
      </c>
      <c r="L6" s="132">
        <f t="shared" si="1"/>
        <v>-4.3999999999999997E-2</v>
      </c>
      <c r="M6" s="132">
        <f t="shared" si="1"/>
        <v>-4.3999999999999997E-2</v>
      </c>
      <c r="N6" s="132">
        <f t="shared" si="1"/>
        <v>-4.3999999999999997E-2</v>
      </c>
      <c r="O6" s="132">
        <f t="shared" si="1"/>
        <v>-4.3999999999999997E-2</v>
      </c>
      <c r="P6" s="132">
        <f>+O6</f>
        <v>-4.3999999999999997E-2</v>
      </c>
      <c r="Q6" s="132">
        <v>-0.15</v>
      </c>
      <c r="R6" s="133">
        <v>-0.15</v>
      </c>
      <c r="S6" s="133">
        <v>0</v>
      </c>
      <c r="T6" s="133">
        <v>0</v>
      </c>
      <c r="U6" s="133">
        <v>0</v>
      </c>
      <c r="V6" s="133">
        <v>0</v>
      </c>
      <c r="X6" s="134"/>
      <c r="Y6" s="135"/>
    </row>
    <row r="7" spans="1:25" ht="20.25" x14ac:dyDescent="0.3">
      <c r="B7" s="94"/>
      <c r="C7" s="95"/>
      <c r="D7" s="95"/>
      <c r="E7" s="104"/>
      <c r="F7" s="96"/>
    </row>
    <row r="8" spans="1:25" s="16" customFormat="1" x14ac:dyDescent="0.2">
      <c r="A8" s="17"/>
      <c r="D8" s="17" t="s">
        <v>56</v>
      </c>
      <c r="E8" s="67" t="s">
        <v>63</v>
      </c>
      <c r="F8" s="66" t="s">
        <v>64</v>
      </c>
      <c r="X8" s="24"/>
      <c r="Y8" s="23"/>
    </row>
    <row r="9" spans="1:25" s="19" customFormat="1" x14ac:dyDescent="0.2">
      <c r="A9" s="17"/>
      <c r="C9" s="19" t="s">
        <v>36</v>
      </c>
      <c r="D9" s="43" t="s">
        <v>20</v>
      </c>
      <c r="E9" s="20" t="s">
        <v>1</v>
      </c>
      <c r="F9" s="20" t="s">
        <v>2</v>
      </c>
      <c r="G9" s="20" t="s">
        <v>3</v>
      </c>
      <c r="H9" s="20" t="s">
        <v>4</v>
      </c>
      <c r="I9" s="21" t="s">
        <v>5</v>
      </c>
      <c r="J9" s="21" t="s">
        <v>6</v>
      </c>
      <c r="K9" s="21" t="s">
        <v>7</v>
      </c>
      <c r="L9" s="21" t="s">
        <v>8</v>
      </c>
      <c r="M9" s="22" t="s">
        <v>9</v>
      </c>
      <c r="N9" s="22" t="s">
        <v>10</v>
      </c>
      <c r="O9" s="22" t="s">
        <v>11</v>
      </c>
      <c r="P9" s="22" t="s">
        <v>12</v>
      </c>
      <c r="Q9" s="19">
        <v>2015</v>
      </c>
      <c r="R9" s="19">
        <v>2016</v>
      </c>
      <c r="S9" s="19">
        <v>2017</v>
      </c>
      <c r="T9" s="19">
        <v>2018</v>
      </c>
      <c r="U9" s="19">
        <v>2019</v>
      </c>
      <c r="V9" s="19">
        <v>2020</v>
      </c>
      <c r="W9" s="17" t="s">
        <v>46</v>
      </c>
      <c r="X9" s="24"/>
      <c r="Y9" s="23"/>
    </row>
    <row r="10" spans="1:25" s="2" customFormat="1" x14ac:dyDescent="0.2">
      <c r="A10" s="31"/>
      <c r="B10" s="53" t="s">
        <v>57</v>
      </c>
      <c r="C10" s="3"/>
      <c r="D10" s="44"/>
      <c r="X10" s="9"/>
      <c r="Y10" s="11"/>
    </row>
    <row r="11" spans="1:25" s="2" customFormat="1" x14ac:dyDescent="0.2">
      <c r="A11" s="31"/>
      <c r="B11" s="103"/>
      <c r="C11" s="3"/>
      <c r="D11" s="44"/>
      <c r="X11" s="9"/>
      <c r="Y11" s="11"/>
    </row>
    <row r="12" spans="1:25" s="2" customFormat="1" x14ac:dyDescent="0.2">
      <c r="A12" s="31"/>
      <c r="B12" s="72" t="s">
        <v>73</v>
      </c>
      <c r="C12" s="3"/>
      <c r="D12" s="47">
        <v>90</v>
      </c>
      <c r="E12" s="12">
        <f>+D12*(1+E13)</f>
        <v>94.05</v>
      </c>
      <c r="F12" s="12">
        <f t="shared" ref="F12:P12" si="2">+E12*(1+F13)</f>
        <v>98.282249999999991</v>
      </c>
      <c r="G12" s="12">
        <f t="shared" si="2"/>
        <v>102.70495124999998</v>
      </c>
      <c r="H12" s="12">
        <f t="shared" si="2"/>
        <v>107.32667405624997</v>
      </c>
      <c r="I12" s="12">
        <f t="shared" si="2"/>
        <v>112.15637438878122</v>
      </c>
      <c r="J12" s="12">
        <f t="shared" si="2"/>
        <v>117.20341123627637</v>
      </c>
      <c r="K12" s="12">
        <f t="shared" si="2"/>
        <v>122.47756474190879</v>
      </c>
      <c r="L12" s="12">
        <f t="shared" si="2"/>
        <v>127.98905515529468</v>
      </c>
      <c r="M12" s="12">
        <f t="shared" si="2"/>
        <v>133.74856263728293</v>
      </c>
      <c r="N12" s="12">
        <f t="shared" si="2"/>
        <v>139.76724795596064</v>
      </c>
      <c r="O12" s="12">
        <f t="shared" si="2"/>
        <v>146.05677411397886</v>
      </c>
      <c r="P12" s="12">
        <f t="shared" si="2"/>
        <v>152.6293289491079</v>
      </c>
      <c r="Q12" s="12">
        <f>+P12*4</f>
        <v>610.5173157964316</v>
      </c>
      <c r="R12" s="12">
        <f>+Q12*(1+R13)</f>
        <v>702.09491316589629</v>
      </c>
      <c r="S12" s="12">
        <f>+R12*(1+S13)</f>
        <v>807.40915014078064</v>
      </c>
      <c r="T12" s="12">
        <f>+S12*(1+T13)</f>
        <v>928.52052266189764</v>
      </c>
      <c r="U12" s="12">
        <f>+T12*(1+U13)</f>
        <v>1067.7986010611821</v>
      </c>
      <c r="V12" s="12">
        <f>+U12*(1+V13)</f>
        <v>1227.9683912203593</v>
      </c>
      <c r="X12" s="9"/>
      <c r="Y12" s="11"/>
    </row>
    <row r="13" spans="1:25" s="2" customFormat="1" x14ac:dyDescent="0.2">
      <c r="A13" s="31"/>
      <c r="B13" s="73" t="s">
        <v>76</v>
      </c>
      <c r="C13" s="75"/>
      <c r="D13" s="76"/>
      <c r="E13" s="77">
        <f>+E5</f>
        <v>4.4999999999999998E-2</v>
      </c>
      <c r="F13" s="77">
        <f t="shared" ref="F13:R13" si="3">+F5</f>
        <v>4.4999999999999998E-2</v>
      </c>
      <c r="G13" s="77">
        <f t="shared" si="3"/>
        <v>4.4999999999999998E-2</v>
      </c>
      <c r="H13" s="77">
        <f t="shared" si="3"/>
        <v>4.4999999999999998E-2</v>
      </c>
      <c r="I13" s="77">
        <f t="shared" si="3"/>
        <v>4.4999999999999998E-2</v>
      </c>
      <c r="J13" s="77">
        <f t="shared" si="3"/>
        <v>4.4999999999999998E-2</v>
      </c>
      <c r="K13" s="77">
        <f t="shared" si="3"/>
        <v>4.4999999999999998E-2</v>
      </c>
      <c r="L13" s="77">
        <f t="shared" si="3"/>
        <v>4.4999999999999998E-2</v>
      </c>
      <c r="M13" s="77">
        <f t="shared" si="3"/>
        <v>4.4999999999999998E-2</v>
      </c>
      <c r="N13" s="77">
        <f t="shared" si="3"/>
        <v>4.4999999999999998E-2</v>
      </c>
      <c r="O13" s="77">
        <f t="shared" si="3"/>
        <v>4.4999999999999998E-2</v>
      </c>
      <c r="P13" s="77">
        <f t="shared" si="3"/>
        <v>4.4999999999999998E-2</v>
      </c>
      <c r="Q13" s="77">
        <f t="shared" si="3"/>
        <v>0.15</v>
      </c>
      <c r="R13" s="77">
        <f t="shared" si="3"/>
        <v>0.15</v>
      </c>
      <c r="S13" s="77">
        <f>+S5</f>
        <v>0.15</v>
      </c>
      <c r="T13" s="77">
        <f>+T5</f>
        <v>0.15</v>
      </c>
      <c r="U13" s="77">
        <f>+U5</f>
        <v>0.15</v>
      </c>
      <c r="V13" s="77">
        <f>+V5</f>
        <v>0.15</v>
      </c>
      <c r="X13" s="9"/>
      <c r="Y13" s="11"/>
    </row>
    <row r="14" spans="1:25" s="111" customFormat="1" x14ac:dyDescent="0.2">
      <c r="A14" s="109"/>
      <c r="B14" s="110" t="s">
        <v>78</v>
      </c>
      <c r="D14" s="106">
        <v>0.3</v>
      </c>
      <c r="E14" s="111">
        <f>+D14</f>
        <v>0.3</v>
      </c>
      <c r="F14" s="111">
        <f t="shared" ref="F14:R14" si="4">+E14</f>
        <v>0.3</v>
      </c>
      <c r="G14" s="111">
        <f t="shared" si="4"/>
        <v>0.3</v>
      </c>
      <c r="H14" s="111">
        <f t="shared" si="4"/>
        <v>0.3</v>
      </c>
      <c r="I14" s="111">
        <f t="shared" si="4"/>
        <v>0.3</v>
      </c>
      <c r="J14" s="111">
        <f t="shared" si="4"/>
        <v>0.3</v>
      </c>
      <c r="K14" s="111">
        <f t="shared" si="4"/>
        <v>0.3</v>
      </c>
      <c r="L14" s="111">
        <f t="shared" si="4"/>
        <v>0.3</v>
      </c>
      <c r="M14" s="111">
        <f t="shared" si="4"/>
        <v>0.3</v>
      </c>
      <c r="N14" s="111">
        <f t="shared" si="4"/>
        <v>0.3</v>
      </c>
      <c r="O14" s="111">
        <f t="shared" si="4"/>
        <v>0.3</v>
      </c>
      <c r="P14" s="111">
        <f t="shared" si="4"/>
        <v>0.3</v>
      </c>
      <c r="Q14" s="111">
        <f t="shared" si="4"/>
        <v>0.3</v>
      </c>
      <c r="R14" s="111">
        <f t="shared" si="4"/>
        <v>0.3</v>
      </c>
      <c r="S14" s="111">
        <f>+R14</f>
        <v>0.3</v>
      </c>
      <c r="T14" s="111">
        <f>+S14</f>
        <v>0.3</v>
      </c>
      <c r="U14" s="111">
        <f>+T14</f>
        <v>0.3</v>
      </c>
      <c r="V14" s="111">
        <f>+U14</f>
        <v>0.3</v>
      </c>
    </row>
    <row r="15" spans="1:25" s="2" customFormat="1" x14ac:dyDescent="0.2">
      <c r="A15" s="31"/>
      <c r="B15" s="26" t="s">
        <v>75</v>
      </c>
      <c r="C15" s="3"/>
      <c r="D15" s="74">
        <f>+D12*D14</f>
        <v>27</v>
      </c>
      <c r="E15" s="80">
        <f t="shared" ref="E15:R15" si="5">+E12*E14</f>
        <v>28.215</v>
      </c>
      <c r="F15" s="80">
        <f t="shared" si="5"/>
        <v>29.484674999999996</v>
      </c>
      <c r="G15" s="80">
        <f t="shared" si="5"/>
        <v>30.811485374999993</v>
      </c>
      <c r="H15" s="80">
        <f t="shared" si="5"/>
        <v>32.19800221687499</v>
      </c>
      <c r="I15" s="80">
        <f t="shared" si="5"/>
        <v>33.646912316634364</v>
      </c>
      <c r="J15" s="80">
        <f t="shared" si="5"/>
        <v>35.161023370882909</v>
      </c>
      <c r="K15" s="80">
        <f t="shared" si="5"/>
        <v>36.743269422572638</v>
      </c>
      <c r="L15" s="80">
        <f t="shared" si="5"/>
        <v>38.396716546588401</v>
      </c>
      <c r="M15" s="80">
        <f t="shared" si="5"/>
        <v>40.124568791184878</v>
      </c>
      <c r="N15" s="80">
        <f t="shared" si="5"/>
        <v>41.930174386788188</v>
      </c>
      <c r="O15" s="80">
        <f t="shared" si="5"/>
        <v>43.817032234193654</v>
      </c>
      <c r="P15" s="80">
        <f t="shared" si="5"/>
        <v>45.78879868473237</v>
      </c>
      <c r="Q15" s="80">
        <f t="shared" si="5"/>
        <v>183.15519473892948</v>
      </c>
      <c r="R15" s="80">
        <f t="shared" si="5"/>
        <v>210.62847394976887</v>
      </c>
      <c r="S15" s="80">
        <f>+S12*S14</f>
        <v>242.22274504223418</v>
      </c>
      <c r="T15" s="80">
        <f>+T12*T14</f>
        <v>278.5561567985693</v>
      </c>
      <c r="U15" s="80">
        <f>+U12*U14</f>
        <v>320.33958031835465</v>
      </c>
      <c r="V15" s="80">
        <f>+V12*V14</f>
        <v>368.39051736610776</v>
      </c>
      <c r="X15" s="9"/>
      <c r="Y15" s="11"/>
    </row>
    <row r="16" spans="1:25" s="2" customFormat="1" x14ac:dyDescent="0.2">
      <c r="A16" s="31"/>
      <c r="B16" s="72"/>
      <c r="C16" s="3"/>
      <c r="D16" s="47"/>
      <c r="E16" s="12"/>
      <c r="F16" s="12"/>
      <c r="G16" s="12"/>
      <c r="H16" s="12"/>
      <c r="I16" s="12"/>
      <c r="J16" s="12"/>
      <c r="K16" s="12"/>
      <c r="L16" s="12"/>
      <c r="M16" s="12"/>
      <c r="N16" s="12"/>
      <c r="O16" s="12"/>
      <c r="P16" s="12"/>
      <c r="Q16" s="12"/>
      <c r="R16" s="12"/>
      <c r="S16" s="12"/>
      <c r="T16" s="12"/>
      <c r="U16" s="12"/>
      <c r="V16" s="12"/>
      <c r="X16" s="9"/>
      <c r="Y16" s="11"/>
    </row>
    <row r="17" spans="1:25" s="2" customFormat="1" x14ac:dyDescent="0.2">
      <c r="A17" s="31"/>
      <c r="B17" s="72" t="s">
        <v>74</v>
      </c>
      <c r="C17" s="3"/>
      <c r="D17" s="47">
        <v>223.3</v>
      </c>
      <c r="E17" s="12">
        <f>+D17*(1+E18)</f>
        <v>213.47480000000002</v>
      </c>
      <c r="F17" s="12">
        <f t="shared" ref="F17:R17" si="6">+E17*(1+F18)</f>
        <v>204.08190880000001</v>
      </c>
      <c r="G17" s="12">
        <f t="shared" si="6"/>
        <v>195.10230481279999</v>
      </c>
      <c r="H17" s="12">
        <f t="shared" si="6"/>
        <v>186.51780340103679</v>
      </c>
      <c r="I17" s="12">
        <f t="shared" si="6"/>
        <v>178.31102005139115</v>
      </c>
      <c r="J17" s="12">
        <f t="shared" si="6"/>
        <v>170.46533516912993</v>
      </c>
      <c r="K17" s="12">
        <f t="shared" si="6"/>
        <v>162.9648604216882</v>
      </c>
      <c r="L17" s="12">
        <f t="shared" si="6"/>
        <v>155.79440656313392</v>
      </c>
      <c r="M17" s="12">
        <f t="shared" si="6"/>
        <v>148.93945267435603</v>
      </c>
      <c r="N17" s="12">
        <f t="shared" si="6"/>
        <v>142.38611675668437</v>
      </c>
      <c r="O17" s="12">
        <f t="shared" si="6"/>
        <v>136.12112761939025</v>
      </c>
      <c r="P17" s="12">
        <f t="shared" si="6"/>
        <v>130.13179800413707</v>
      </c>
      <c r="Q17" s="12">
        <f>+P17*4</f>
        <v>520.52719201654827</v>
      </c>
      <c r="R17" s="12">
        <f t="shared" si="6"/>
        <v>442.44811321406604</v>
      </c>
      <c r="S17" s="12">
        <f>+R17*(1+S18)</f>
        <v>442.44811321406604</v>
      </c>
      <c r="T17" s="12">
        <f>+S17*(1+T18)</f>
        <v>442.44811321406604</v>
      </c>
      <c r="U17" s="12">
        <f>+T17*(1+U18)</f>
        <v>442.44811321406604</v>
      </c>
      <c r="V17" s="12">
        <f>+U17*(1+V18)</f>
        <v>442.44811321406604</v>
      </c>
      <c r="X17" s="9"/>
      <c r="Y17" s="11"/>
    </row>
    <row r="18" spans="1:25" s="2" customFormat="1" x14ac:dyDescent="0.2">
      <c r="A18" s="31"/>
      <c r="B18" s="73" t="s">
        <v>79</v>
      </c>
      <c r="C18" s="3"/>
      <c r="D18" s="47"/>
      <c r="E18" s="78">
        <f>+E6</f>
        <v>-4.3999999999999997E-2</v>
      </c>
      <c r="F18" s="78">
        <f t="shared" ref="F18:R18" si="7">+F6</f>
        <v>-4.3999999999999997E-2</v>
      </c>
      <c r="G18" s="78">
        <f t="shared" si="7"/>
        <v>-4.3999999999999997E-2</v>
      </c>
      <c r="H18" s="78">
        <f t="shared" si="7"/>
        <v>-4.3999999999999997E-2</v>
      </c>
      <c r="I18" s="78">
        <f t="shared" si="7"/>
        <v>-4.3999999999999997E-2</v>
      </c>
      <c r="J18" s="78">
        <f t="shared" si="7"/>
        <v>-4.3999999999999997E-2</v>
      </c>
      <c r="K18" s="78">
        <f t="shared" si="7"/>
        <v>-4.3999999999999997E-2</v>
      </c>
      <c r="L18" s="78">
        <f t="shared" si="7"/>
        <v>-4.3999999999999997E-2</v>
      </c>
      <c r="M18" s="78">
        <f t="shared" si="7"/>
        <v>-4.3999999999999997E-2</v>
      </c>
      <c r="N18" s="78">
        <f t="shared" si="7"/>
        <v>-4.3999999999999997E-2</v>
      </c>
      <c r="O18" s="78">
        <f t="shared" si="7"/>
        <v>-4.3999999999999997E-2</v>
      </c>
      <c r="P18" s="78">
        <f t="shared" si="7"/>
        <v>-4.3999999999999997E-2</v>
      </c>
      <c r="Q18" s="78">
        <f t="shared" si="7"/>
        <v>-0.15</v>
      </c>
      <c r="R18" s="78">
        <f t="shared" si="7"/>
        <v>-0.15</v>
      </c>
      <c r="S18" s="78">
        <f>+S6</f>
        <v>0</v>
      </c>
      <c r="T18" s="78">
        <f>+T6</f>
        <v>0</v>
      </c>
      <c r="U18" s="78">
        <f>+U6</f>
        <v>0</v>
      </c>
      <c r="V18" s="78">
        <f>+V6</f>
        <v>0</v>
      </c>
      <c r="X18" s="9"/>
      <c r="Y18" s="11"/>
    </row>
    <row r="19" spans="1:25" s="111" customFormat="1" ht="15" x14ac:dyDescent="0.25">
      <c r="A19" s="109"/>
      <c r="B19" s="110" t="s">
        <v>78</v>
      </c>
      <c r="C19" s="112"/>
      <c r="D19" s="106">
        <v>0.53800000000000003</v>
      </c>
      <c r="E19" s="107">
        <f>+D19</f>
        <v>0.53800000000000003</v>
      </c>
      <c r="F19" s="107">
        <v>0.53500000000000003</v>
      </c>
      <c r="G19" s="107">
        <v>0.53</v>
      </c>
      <c r="H19" s="107">
        <v>0.53</v>
      </c>
      <c r="I19" s="107">
        <v>0.52500000000000002</v>
      </c>
      <c r="J19" s="107">
        <v>0.52</v>
      </c>
      <c r="K19" s="107">
        <v>0.51500000000000001</v>
      </c>
      <c r="L19" s="107">
        <v>0.51</v>
      </c>
      <c r="M19" s="107">
        <v>0.51</v>
      </c>
      <c r="N19" s="107">
        <v>0.51</v>
      </c>
      <c r="O19" s="107">
        <v>0.51</v>
      </c>
      <c r="P19" s="107">
        <v>0.51</v>
      </c>
      <c r="Q19" s="107">
        <v>0.51</v>
      </c>
      <c r="R19" s="107">
        <v>0.51</v>
      </c>
      <c r="S19" s="107">
        <v>0.51</v>
      </c>
      <c r="T19" s="107">
        <v>0.51</v>
      </c>
      <c r="U19" s="107">
        <v>0.51</v>
      </c>
      <c r="V19" s="107">
        <v>0.51</v>
      </c>
      <c r="W19" s="128" t="s">
        <v>111</v>
      </c>
    </row>
    <row r="20" spans="1:25" s="2" customFormat="1" x14ac:dyDescent="0.2">
      <c r="A20" s="31"/>
      <c r="B20" s="26" t="s">
        <v>77</v>
      </c>
      <c r="C20" s="3"/>
      <c r="D20" s="74">
        <f>+D17*D19</f>
        <v>120.13540000000002</v>
      </c>
      <c r="E20" s="80">
        <f>+E17*E19</f>
        <v>114.84944240000002</v>
      </c>
      <c r="F20" s="80">
        <f t="shared" ref="F20:R20" si="8">+F17*F19</f>
        <v>109.18382120800001</v>
      </c>
      <c r="G20" s="80">
        <f t="shared" si="8"/>
        <v>103.404221550784</v>
      </c>
      <c r="H20" s="80">
        <f t="shared" si="8"/>
        <v>98.854435802549503</v>
      </c>
      <c r="I20" s="80">
        <f t="shared" si="8"/>
        <v>93.613285526980363</v>
      </c>
      <c r="J20" s="80">
        <f t="shared" si="8"/>
        <v>88.641974287947562</v>
      </c>
      <c r="K20" s="80">
        <f t="shared" si="8"/>
        <v>83.926903117169431</v>
      </c>
      <c r="L20" s="80">
        <f t="shared" si="8"/>
        <v>79.455147347198306</v>
      </c>
      <c r="M20" s="80">
        <f t="shared" si="8"/>
        <v>75.959120863921584</v>
      </c>
      <c r="N20" s="80">
        <f t="shared" si="8"/>
        <v>72.616919545909028</v>
      </c>
      <c r="O20" s="80">
        <f t="shared" si="8"/>
        <v>69.421775085889024</v>
      </c>
      <c r="P20" s="80">
        <f t="shared" si="8"/>
        <v>66.367216982109909</v>
      </c>
      <c r="Q20" s="80">
        <f t="shared" si="8"/>
        <v>265.46886792843964</v>
      </c>
      <c r="R20" s="80">
        <f t="shared" si="8"/>
        <v>225.64853773917369</v>
      </c>
      <c r="S20" s="80">
        <f>+S17*S19</f>
        <v>225.64853773917369</v>
      </c>
      <c r="T20" s="80">
        <f>+T17*T19</f>
        <v>225.64853773917369</v>
      </c>
      <c r="U20" s="80">
        <f>+U17*U19</f>
        <v>225.64853773917369</v>
      </c>
      <c r="V20" s="80">
        <f>+V17*V19</f>
        <v>225.64853773917369</v>
      </c>
      <c r="X20" s="9"/>
      <c r="Y20" s="11"/>
    </row>
    <row r="21" spans="1:25" s="2" customFormat="1" x14ac:dyDescent="0.2">
      <c r="A21" s="31"/>
      <c r="B21" s="73"/>
      <c r="C21" s="3"/>
      <c r="D21" s="46"/>
      <c r="E21" s="38"/>
      <c r="F21" s="38"/>
      <c r="G21" s="38"/>
      <c r="H21" s="38"/>
      <c r="I21" s="38"/>
      <c r="J21" s="38"/>
      <c r="K21" s="38"/>
      <c r="L21" s="38"/>
      <c r="M21" s="38"/>
      <c r="N21" s="38"/>
      <c r="O21" s="38"/>
      <c r="P21" s="38"/>
      <c r="Q21" s="38"/>
      <c r="R21" s="38"/>
      <c r="S21" s="38"/>
      <c r="T21" s="38"/>
      <c r="U21" s="38"/>
      <c r="V21" s="38"/>
      <c r="X21" s="9"/>
      <c r="Y21" s="11"/>
    </row>
    <row r="22" spans="1:25" s="2" customFormat="1" x14ac:dyDescent="0.2">
      <c r="A22" s="31"/>
      <c r="B22" s="73" t="s">
        <v>80</v>
      </c>
      <c r="C22" s="3"/>
      <c r="D22" s="47">
        <f>+D12+D17</f>
        <v>313.3</v>
      </c>
      <c r="E22" s="12">
        <f>+E12+E17</f>
        <v>307.52480000000003</v>
      </c>
      <c r="F22" s="12">
        <f t="shared" ref="F22:R22" si="9">+F12+F17</f>
        <v>302.36415879999998</v>
      </c>
      <c r="G22" s="12">
        <f t="shared" si="9"/>
        <v>297.80725606279998</v>
      </c>
      <c r="H22" s="12">
        <f t="shared" si="9"/>
        <v>293.84447745728676</v>
      </c>
      <c r="I22" s="12">
        <f t="shared" si="9"/>
        <v>290.46739444017237</v>
      </c>
      <c r="J22" s="12">
        <f t="shared" si="9"/>
        <v>287.6687464054063</v>
      </c>
      <c r="K22" s="12">
        <f t="shared" si="9"/>
        <v>285.44242516359702</v>
      </c>
      <c r="L22" s="12">
        <f t="shared" si="9"/>
        <v>283.78346171842861</v>
      </c>
      <c r="M22" s="12">
        <f t="shared" si="9"/>
        <v>282.68801531163899</v>
      </c>
      <c r="N22" s="12">
        <f t="shared" si="9"/>
        <v>282.15336471264504</v>
      </c>
      <c r="O22" s="12">
        <f t="shared" si="9"/>
        <v>282.17790173336914</v>
      </c>
      <c r="P22" s="12">
        <f t="shared" si="9"/>
        <v>282.76112695324497</v>
      </c>
      <c r="Q22" s="12">
        <f t="shared" si="9"/>
        <v>1131.0445078129799</v>
      </c>
      <c r="R22" s="12">
        <f t="shared" si="9"/>
        <v>1144.5430263799624</v>
      </c>
      <c r="S22" s="12">
        <f>+S12+S17</f>
        <v>1249.8572633548467</v>
      </c>
      <c r="T22" s="12">
        <f>+T12+T17</f>
        <v>1370.9686358759636</v>
      </c>
      <c r="U22" s="12">
        <f>+U12+U17</f>
        <v>1510.2467142752482</v>
      </c>
      <c r="V22" s="12">
        <f>+V12+V17</f>
        <v>1670.4165044344254</v>
      </c>
      <c r="X22" s="9"/>
      <c r="Y22" s="11"/>
    </row>
    <row r="23" spans="1:25" s="26" customFormat="1" ht="13.5" thickBot="1" x14ac:dyDescent="0.25">
      <c r="A23" s="32" t="s">
        <v>15</v>
      </c>
      <c r="B23" s="32" t="s">
        <v>112</v>
      </c>
      <c r="C23" s="25"/>
      <c r="D23" s="79">
        <f>+D15+D20</f>
        <v>147.1354</v>
      </c>
      <c r="E23" s="81">
        <f t="shared" ref="E23:R23" si="10">+E15+E20</f>
        <v>143.06444240000002</v>
      </c>
      <c r="F23" s="81">
        <f t="shared" si="10"/>
        <v>138.66849620800002</v>
      </c>
      <c r="G23" s="81">
        <f t="shared" si="10"/>
        <v>134.21570692578399</v>
      </c>
      <c r="H23" s="81">
        <f t="shared" si="10"/>
        <v>131.0524380194245</v>
      </c>
      <c r="I23" s="81">
        <f t="shared" si="10"/>
        <v>127.26019784361472</v>
      </c>
      <c r="J23" s="81">
        <f t="shared" si="10"/>
        <v>123.80299765883046</v>
      </c>
      <c r="K23" s="81">
        <f t="shared" si="10"/>
        <v>120.67017253974207</v>
      </c>
      <c r="L23" s="81">
        <f t="shared" si="10"/>
        <v>117.85186389378671</v>
      </c>
      <c r="M23" s="81">
        <f t="shared" si="10"/>
        <v>116.08368965510647</v>
      </c>
      <c r="N23" s="81">
        <f t="shared" si="10"/>
        <v>114.54709393269721</v>
      </c>
      <c r="O23" s="81">
        <f t="shared" si="10"/>
        <v>113.23880732008269</v>
      </c>
      <c r="P23" s="81">
        <f t="shared" si="10"/>
        <v>112.15601566684228</v>
      </c>
      <c r="Q23" s="81">
        <f t="shared" si="10"/>
        <v>448.62406266736912</v>
      </c>
      <c r="R23" s="81">
        <f t="shared" si="10"/>
        <v>436.27701168894259</v>
      </c>
      <c r="S23" s="81">
        <f>+S15+S20</f>
        <v>467.8712827814079</v>
      </c>
      <c r="T23" s="81">
        <f>+T15+T20</f>
        <v>504.20469453774297</v>
      </c>
      <c r="U23" s="81">
        <f>+U15+U20</f>
        <v>545.98811805752837</v>
      </c>
      <c r="V23" s="81">
        <f>+V15+V20</f>
        <v>594.03905510528148</v>
      </c>
      <c r="X23" s="28"/>
      <c r="Y23" s="29"/>
    </row>
    <row r="24" spans="1:25" s="26" customFormat="1" ht="13.5" thickTop="1" x14ac:dyDescent="0.2">
      <c r="A24" s="32"/>
      <c r="B24" s="26" t="s">
        <v>81</v>
      </c>
      <c r="C24" s="25"/>
      <c r="D24" s="82">
        <f>+D23/D22</f>
        <v>0.46963102457708267</v>
      </c>
      <c r="E24" s="83">
        <f>+E23/E22</f>
        <v>0.4652126995936588</v>
      </c>
      <c r="F24" s="83">
        <f>+F23/F22</f>
        <v>0.45861419805289444</v>
      </c>
      <c r="G24" s="83">
        <f t="shared" ref="G24:R24" si="11">+G23/G22</f>
        <v>0.45067977422780225</v>
      </c>
      <c r="H24" s="83">
        <f t="shared" si="11"/>
        <v>0.44599251669949891</v>
      </c>
      <c r="I24" s="83">
        <f t="shared" si="11"/>
        <v>0.43812214478973655</v>
      </c>
      <c r="J24" s="83">
        <f t="shared" si="11"/>
        <v>0.43036652123605101</v>
      </c>
      <c r="K24" s="83">
        <f t="shared" si="11"/>
        <v>0.42274785351400296</v>
      </c>
      <c r="L24" s="83">
        <f t="shared" si="11"/>
        <v>0.4152879916967111</v>
      </c>
      <c r="M24" s="83">
        <f t="shared" si="11"/>
        <v>0.41064241625926123</v>
      </c>
      <c r="N24" s="83">
        <f t="shared" si="11"/>
        <v>0.40597458070137143</v>
      </c>
      <c r="O24" s="83">
        <f t="shared" si="11"/>
        <v>0.40130288950508397</v>
      </c>
      <c r="P24" s="83">
        <f t="shared" si="11"/>
        <v>0.39664580798402133</v>
      </c>
      <c r="Q24" s="83">
        <f t="shared" si="11"/>
        <v>0.39664580798402133</v>
      </c>
      <c r="R24" s="83">
        <f t="shared" si="11"/>
        <v>0.38118008815171311</v>
      </c>
      <c r="S24" s="83">
        <f>+S23/S22</f>
        <v>0.37433977182766881</v>
      </c>
      <c r="T24" s="83">
        <f>+T23/T22</f>
        <v>0.36777259620938557</v>
      </c>
      <c r="U24" s="83">
        <f>+U23/U22</f>
        <v>0.36152246708879116</v>
      </c>
      <c r="V24" s="83">
        <f>+V23/V22</f>
        <v>0.35562331522006424</v>
      </c>
      <c r="X24" s="28"/>
      <c r="Y24" s="29"/>
    </row>
    <row r="25" spans="1:25" s="2" customFormat="1" x14ac:dyDescent="0.2">
      <c r="A25" s="31"/>
      <c r="B25" s="103"/>
      <c r="C25" s="3"/>
      <c r="D25" s="44"/>
      <c r="X25" s="9"/>
      <c r="Y25" s="11"/>
    </row>
    <row r="26" spans="1:25" s="26" customFormat="1" x14ac:dyDescent="0.2">
      <c r="A26" s="32"/>
      <c r="B26" s="25"/>
      <c r="C26" s="25"/>
      <c r="D26" s="46"/>
      <c r="E26" s="38"/>
      <c r="F26" s="38"/>
      <c r="G26" s="38"/>
      <c r="H26" s="38"/>
      <c r="I26" s="38"/>
      <c r="J26" s="38"/>
      <c r="K26" s="38"/>
      <c r="L26" s="38"/>
      <c r="M26" s="38"/>
      <c r="N26" s="38"/>
      <c r="O26" s="38"/>
      <c r="P26" s="38"/>
      <c r="Q26" s="38"/>
      <c r="R26" s="38"/>
      <c r="S26" s="38"/>
      <c r="T26" s="38"/>
      <c r="U26" s="38"/>
      <c r="V26" s="38"/>
      <c r="X26" s="28"/>
      <c r="Y26" s="29"/>
    </row>
    <row r="27" spans="1:25" s="2" customFormat="1" x14ac:dyDescent="0.2">
      <c r="A27" s="31"/>
      <c r="B27" s="53" t="s">
        <v>47</v>
      </c>
      <c r="D27" s="47"/>
      <c r="E27" s="12"/>
      <c r="F27" s="12"/>
      <c r="G27" s="12"/>
      <c r="H27" s="12"/>
      <c r="I27" s="12"/>
      <c r="J27" s="12"/>
      <c r="K27" s="12"/>
      <c r="L27" s="12"/>
      <c r="M27" s="12"/>
      <c r="N27" s="12"/>
      <c r="O27" s="12"/>
      <c r="P27" s="12"/>
      <c r="Q27" s="12"/>
      <c r="R27" s="12"/>
      <c r="S27" s="12"/>
      <c r="T27" s="12"/>
      <c r="U27" s="12"/>
      <c r="V27" s="12"/>
      <c r="X27" s="9"/>
      <c r="Y27" s="11"/>
    </row>
    <row r="28" spans="1:25" s="2" customFormat="1" x14ac:dyDescent="0.2">
      <c r="A28" s="31"/>
      <c r="B28" s="25" t="s">
        <v>17</v>
      </c>
      <c r="D28" s="47"/>
      <c r="E28" s="12"/>
      <c r="F28" s="12"/>
      <c r="G28" s="12"/>
      <c r="H28" s="12"/>
      <c r="I28" s="12"/>
      <c r="J28" s="12"/>
      <c r="K28" s="12"/>
      <c r="L28" s="12"/>
      <c r="M28" s="12"/>
      <c r="N28" s="12"/>
      <c r="O28" s="12"/>
      <c r="P28" s="12"/>
      <c r="Q28" s="12"/>
      <c r="R28" s="12"/>
      <c r="S28" s="12"/>
      <c r="T28" s="12"/>
      <c r="U28" s="12"/>
      <c r="V28" s="12"/>
      <c r="X28" s="9"/>
      <c r="Y28" s="11"/>
    </row>
    <row r="29" spans="1:25" s="2" customFormat="1" x14ac:dyDescent="0.2">
      <c r="A29" s="31"/>
      <c r="B29" s="1" t="s">
        <v>89</v>
      </c>
      <c r="D29" s="47">
        <f>266*0.05/4</f>
        <v>3.3250000000000002</v>
      </c>
      <c r="E29" s="12">
        <v>2.0699999999999998</v>
      </c>
      <c r="F29" s="12">
        <v>1.7825</v>
      </c>
      <c r="G29" s="12">
        <v>1.4950000000000001</v>
      </c>
      <c r="H29" s="12">
        <v>1.2075</v>
      </c>
      <c r="I29" s="12">
        <v>0.92</v>
      </c>
      <c r="J29" s="12"/>
      <c r="K29" s="12"/>
      <c r="L29" s="12"/>
      <c r="M29" s="12"/>
      <c r="N29" s="12"/>
      <c r="O29" s="12"/>
      <c r="P29" s="12"/>
      <c r="Q29" s="12"/>
      <c r="R29" s="12"/>
      <c r="S29" s="12"/>
      <c r="T29" s="12"/>
      <c r="U29" s="12"/>
      <c r="V29" s="12"/>
      <c r="X29" s="9"/>
      <c r="Y29" s="11"/>
    </row>
    <row r="30" spans="1:25" s="2" customFormat="1" x14ac:dyDescent="0.2">
      <c r="A30" s="31"/>
      <c r="B30" s="1" t="s">
        <v>90</v>
      </c>
      <c r="D30" s="47"/>
      <c r="E30" s="12">
        <f>+Y65/4</f>
        <v>2.629</v>
      </c>
      <c r="F30" s="12">
        <f>+E30</f>
        <v>2.629</v>
      </c>
      <c r="G30" s="12">
        <f>+F30</f>
        <v>2.629</v>
      </c>
      <c r="H30" s="12">
        <f>+G30</f>
        <v>2.629</v>
      </c>
      <c r="I30" s="12">
        <f>+H30*0.5</f>
        <v>1.3145</v>
      </c>
      <c r="J30" s="12"/>
      <c r="K30" s="12"/>
      <c r="L30" s="12"/>
      <c r="M30" s="27">
        <v>1.65</v>
      </c>
      <c r="N30" s="27">
        <v>1.65</v>
      </c>
      <c r="O30" s="27">
        <v>1.65</v>
      </c>
      <c r="P30" s="27">
        <v>1.65</v>
      </c>
      <c r="Q30" s="12"/>
      <c r="R30" s="12"/>
      <c r="S30" s="12"/>
      <c r="T30" s="12"/>
      <c r="U30" s="12"/>
      <c r="V30" s="12"/>
      <c r="X30" s="9"/>
      <c r="Y30" s="11"/>
    </row>
    <row r="31" spans="1:25" s="2" customFormat="1" x14ac:dyDescent="0.2">
      <c r="A31" s="31"/>
      <c r="B31" s="1" t="s">
        <v>25</v>
      </c>
      <c r="C31" s="68" t="s">
        <v>65</v>
      </c>
      <c r="D31" s="47"/>
      <c r="E31" s="12"/>
      <c r="F31" s="12"/>
      <c r="G31" s="12"/>
      <c r="H31" s="12"/>
      <c r="I31" s="12"/>
      <c r="J31" s="12"/>
      <c r="K31" s="12"/>
      <c r="L31" s="12"/>
      <c r="M31" s="12"/>
      <c r="N31" s="12"/>
      <c r="O31" s="12"/>
      <c r="P31" s="12"/>
      <c r="Q31" s="12"/>
      <c r="R31" s="12"/>
      <c r="S31" s="12"/>
      <c r="T31" s="12"/>
      <c r="U31" s="12"/>
      <c r="V31" s="12"/>
      <c r="X31" s="9"/>
      <c r="Y31" s="11"/>
    </row>
    <row r="32" spans="1:25" s="2" customFormat="1" x14ac:dyDescent="0.2">
      <c r="A32" s="31"/>
      <c r="B32" s="1" t="s">
        <v>34</v>
      </c>
      <c r="D32" s="47">
        <f t="shared" ref="D32:K32" si="12">+$Y67/4</f>
        <v>2.875</v>
      </c>
      <c r="E32" s="12">
        <f t="shared" si="12"/>
        <v>2.875</v>
      </c>
      <c r="F32" s="12">
        <f t="shared" si="12"/>
        <v>2.875</v>
      </c>
      <c r="G32" s="12">
        <f t="shared" si="12"/>
        <v>2.875</v>
      </c>
      <c r="H32" s="12">
        <f t="shared" si="12"/>
        <v>2.875</v>
      </c>
      <c r="I32" s="12">
        <f t="shared" si="12"/>
        <v>2.875</v>
      </c>
      <c r="J32" s="12">
        <f t="shared" si="12"/>
        <v>2.875</v>
      </c>
      <c r="K32" s="12">
        <f t="shared" si="12"/>
        <v>2.875</v>
      </c>
      <c r="L32" s="127">
        <v>0.9</v>
      </c>
      <c r="M32" s="127">
        <f>+$Y67/4*0</f>
        <v>0</v>
      </c>
      <c r="N32" s="127">
        <f>+M32</f>
        <v>0</v>
      </c>
      <c r="O32" s="127">
        <f>+N32</f>
        <v>0</v>
      </c>
      <c r="P32" s="127">
        <f>+O32</f>
        <v>0</v>
      </c>
      <c r="Q32" s="127">
        <f>+P32*4</f>
        <v>0</v>
      </c>
      <c r="R32" s="127">
        <f>+Q32</f>
        <v>0</v>
      </c>
      <c r="S32" s="127">
        <f>+R32</f>
        <v>0</v>
      </c>
      <c r="T32" s="127">
        <f>+S32</f>
        <v>0</v>
      </c>
      <c r="U32" s="127">
        <f>+T32</f>
        <v>0</v>
      </c>
      <c r="V32" s="127">
        <f>+U32</f>
        <v>0</v>
      </c>
      <c r="X32" s="9"/>
      <c r="Y32" s="11"/>
    </row>
    <row r="33" spans="1:25" s="2" customFormat="1" x14ac:dyDescent="0.2">
      <c r="A33" s="31"/>
      <c r="B33" s="1" t="s">
        <v>14</v>
      </c>
      <c r="D33" s="47"/>
      <c r="E33" s="12"/>
      <c r="F33" s="12"/>
      <c r="G33" s="12"/>
      <c r="H33" s="12"/>
      <c r="I33" s="12"/>
      <c r="J33" s="12"/>
      <c r="K33" s="12"/>
      <c r="L33" s="12"/>
      <c r="M33" s="12"/>
      <c r="N33" s="12"/>
      <c r="O33" s="12"/>
      <c r="P33" s="12"/>
      <c r="Q33" s="12"/>
      <c r="R33" s="12"/>
      <c r="S33" s="12"/>
      <c r="T33" s="12"/>
      <c r="U33" s="12"/>
      <c r="V33" s="12"/>
      <c r="X33" s="9"/>
      <c r="Y33" s="11"/>
    </row>
    <row r="34" spans="1:25" s="2" customFormat="1" x14ac:dyDescent="0.2">
      <c r="A34" s="31"/>
      <c r="B34" s="7" t="s">
        <v>27</v>
      </c>
      <c r="D34" s="47">
        <f t="shared" ref="D34:P41" si="13">+$Y69/4</f>
        <v>2.1125000000000003</v>
      </c>
      <c r="E34" s="12">
        <f t="shared" si="13"/>
        <v>2.1125000000000003</v>
      </c>
      <c r="F34" s="12">
        <f t="shared" si="13"/>
        <v>2.1125000000000003</v>
      </c>
      <c r="G34" s="12">
        <f t="shared" si="13"/>
        <v>2.1125000000000003</v>
      </c>
      <c r="H34" s="12">
        <f t="shared" si="13"/>
        <v>2.1125000000000003</v>
      </c>
      <c r="I34" s="12">
        <f t="shared" si="13"/>
        <v>2.1125000000000003</v>
      </c>
      <c r="J34" s="12">
        <f t="shared" si="13"/>
        <v>2.1125000000000003</v>
      </c>
      <c r="K34" s="12"/>
      <c r="L34" s="12"/>
      <c r="M34" s="12"/>
      <c r="N34" s="12"/>
      <c r="O34" s="12"/>
      <c r="P34" s="12"/>
      <c r="Q34" s="12"/>
      <c r="R34" s="12"/>
      <c r="S34" s="12"/>
      <c r="T34" s="12"/>
      <c r="U34" s="12"/>
      <c r="V34" s="12"/>
      <c r="X34" s="9"/>
      <c r="Y34" s="11"/>
    </row>
    <row r="35" spans="1:25" s="2" customFormat="1" x14ac:dyDescent="0.2">
      <c r="A35" s="31"/>
      <c r="B35" s="1" t="s">
        <v>26</v>
      </c>
      <c r="D35" s="47">
        <f t="shared" si="13"/>
        <v>2.140625</v>
      </c>
      <c r="E35" s="12">
        <f t="shared" si="13"/>
        <v>2.140625</v>
      </c>
      <c r="F35" s="12">
        <f t="shared" si="13"/>
        <v>2.140625</v>
      </c>
      <c r="G35" s="12">
        <f t="shared" si="13"/>
        <v>2.140625</v>
      </c>
      <c r="H35" s="12">
        <f t="shared" si="13"/>
        <v>2.140625</v>
      </c>
      <c r="I35" s="12">
        <f t="shared" si="13"/>
        <v>2.140625</v>
      </c>
      <c r="J35" s="12">
        <f t="shared" si="13"/>
        <v>2.140625</v>
      </c>
      <c r="K35" s="12">
        <f t="shared" si="13"/>
        <v>2.140625</v>
      </c>
      <c r="L35" s="12">
        <f t="shared" si="13"/>
        <v>2.140625</v>
      </c>
      <c r="M35" s="12"/>
      <c r="N35" s="12"/>
      <c r="O35" s="12"/>
      <c r="P35" s="12"/>
      <c r="Q35" s="12"/>
      <c r="R35" s="12"/>
      <c r="S35" s="12"/>
      <c r="T35" s="12"/>
      <c r="U35" s="12"/>
      <c r="V35" s="12"/>
      <c r="X35" s="9"/>
      <c r="Y35" s="11"/>
    </row>
    <row r="36" spans="1:25" s="2" customFormat="1" x14ac:dyDescent="0.2">
      <c r="A36" s="31"/>
      <c r="B36" s="1" t="s">
        <v>28</v>
      </c>
      <c r="D36" s="47">
        <f t="shared" si="13"/>
        <v>3.6401249999999998</v>
      </c>
      <c r="E36" s="12">
        <f t="shared" si="13"/>
        <v>3.6401249999999998</v>
      </c>
      <c r="F36" s="12">
        <f t="shared" si="13"/>
        <v>3.6401249999999998</v>
      </c>
      <c r="G36" s="12">
        <f t="shared" si="13"/>
        <v>3.6401249999999998</v>
      </c>
      <c r="H36" s="12">
        <f t="shared" si="13"/>
        <v>3.6401249999999998</v>
      </c>
      <c r="I36" s="12">
        <f t="shared" si="13"/>
        <v>3.6401249999999998</v>
      </c>
      <c r="J36" s="12">
        <f t="shared" si="13"/>
        <v>3.6401249999999998</v>
      </c>
      <c r="K36" s="12">
        <f t="shared" si="13"/>
        <v>3.6401249999999998</v>
      </c>
      <c r="L36" s="12">
        <f t="shared" si="13"/>
        <v>3.6401249999999998</v>
      </c>
      <c r="M36" s="12">
        <f t="shared" si="13"/>
        <v>3.6401249999999998</v>
      </c>
      <c r="N36" s="12"/>
      <c r="O36" s="12"/>
      <c r="P36" s="12"/>
      <c r="Q36" s="12"/>
      <c r="R36" s="12"/>
      <c r="S36" s="12"/>
      <c r="T36" s="12"/>
      <c r="U36" s="12"/>
      <c r="V36" s="12"/>
      <c r="X36" s="9"/>
      <c r="Y36" s="11"/>
    </row>
    <row r="37" spans="1:25" s="2" customFormat="1" x14ac:dyDescent="0.2">
      <c r="A37" s="31"/>
      <c r="B37" s="1" t="s">
        <v>29</v>
      </c>
      <c r="D37" s="47">
        <f t="shared" si="13"/>
        <v>2.5185</v>
      </c>
      <c r="E37" s="12">
        <f t="shared" si="13"/>
        <v>2.5185</v>
      </c>
      <c r="F37" s="12">
        <f t="shared" si="13"/>
        <v>2.5185</v>
      </c>
      <c r="G37" s="12">
        <f t="shared" si="13"/>
        <v>2.5185</v>
      </c>
      <c r="H37" s="12">
        <f t="shared" si="13"/>
        <v>2.5185</v>
      </c>
      <c r="I37" s="12">
        <f t="shared" si="13"/>
        <v>2.5185</v>
      </c>
      <c r="J37" s="12">
        <f t="shared" si="13"/>
        <v>2.5185</v>
      </c>
      <c r="K37" s="12">
        <f t="shared" si="13"/>
        <v>2.5185</v>
      </c>
      <c r="L37" s="12">
        <f t="shared" si="13"/>
        <v>2.5185</v>
      </c>
      <c r="M37" s="12">
        <f t="shared" si="13"/>
        <v>2.5185</v>
      </c>
      <c r="N37" s="12">
        <f t="shared" si="13"/>
        <v>2.5185</v>
      </c>
      <c r="O37" s="12">
        <f t="shared" si="13"/>
        <v>2.5185</v>
      </c>
      <c r="P37" s="12">
        <f t="shared" si="13"/>
        <v>2.5185</v>
      </c>
      <c r="Q37" s="12">
        <v>1.5</v>
      </c>
      <c r="R37" s="12"/>
      <c r="S37" s="12"/>
      <c r="T37" s="12"/>
      <c r="U37" s="12"/>
      <c r="V37" s="12"/>
      <c r="X37" s="9"/>
      <c r="Y37" s="11"/>
    </row>
    <row r="38" spans="1:25" s="2" customFormat="1" x14ac:dyDescent="0.2">
      <c r="A38" s="31"/>
      <c r="B38" s="1" t="s">
        <v>30</v>
      </c>
      <c r="D38" s="47">
        <f t="shared" si="13"/>
        <v>4.2</v>
      </c>
      <c r="E38" s="12">
        <f t="shared" si="13"/>
        <v>4.2</v>
      </c>
      <c r="F38" s="12">
        <f t="shared" si="13"/>
        <v>4.2</v>
      </c>
      <c r="G38" s="12">
        <f t="shared" si="13"/>
        <v>4.2</v>
      </c>
      <c r="H38" s="12">
        <f t="shared" si="13"/>
        <v>4.2</v>
      </c>
      <c r="I38" s="12">
        <f t="shared" si="13"/>
        <v>4.2</v>
      </c>
      <c r="J38" s="12">
        <f t="shared" si="13"/>
        <v>4.2</v>
      </c>
      <c r="K38" s="12">
        <f t="shared" si="13"/>
        <v>4.2</v>
      </c>
      <c r="L38" s="12">
        <f t="shared" si="13"/>
        <v>4.2</v>
      </c>
      <c r="M38" s="12">
        <f t="shared" si="13"/>
        <v>4.2</v>
      </c>
      <c r="N38" s="12">
        <f t="shared" si="13"/>
        <v>4.2</v>
      </c>
      <c r="O38" s="12">
        <f t="shared" si="13"/>
        <v>4.2</v>
      </c>
      <c r="P38" s="12">
        <f t="shared" si="13"/>
        <v>4.2</v>
      </c>
      <c r="Q38" s="12">
        <f>+P38*4</f>
        <v>16.8</v>
      </c>
      <c r="R38" s="12">
        <f>+Q38/6</f>
        <v>2.8000000000000003</v>
      </c>
      <c r="S38" s="12"/>
      <c r="T38" s="12"/>
      <c r="U38" s="12"/>
      <c r="V38" s="12"/>
      <c r="X38" s="9"/>
      <c r="Y38" s="11"/>
    </row>
    <row r="39" spans="1:25" s="2" customFormat="1" x14ac:dyDescent="0.2">
      <c r="A39" s="31"/>
      <c r="B39" s="1" t="s">
        <v>31</v>
      </c>
      <c r="D39" s="47">
        <f t="shared" si="13"/>
        <v>1.769625</v>
      </c>
      <c r="E39" s="12">
        <f t="shared" si="13"/>
        <v>1.769625</v>
      </c>
      <c r="F39" s="12">
        <f t="shared" si="13"/>
        <v>1.769625</v>
      </c>
      <c r="G39" s="12">
        <f t="shared" si="13"/>
        <v>1.769625</v>
      </c>
      <c r="H39" s="12">
        <f t="shared" si="13"/>
        <v>1.769625</v>
      </c>
      <c r="I39" s="12">
        <f t="shared" si="13"/>
        <v>1.769625</v>
      </c>
      <c r="J39" s="12">
        <f t="shared" si="13"/>
        <v>1.769625</v>
      </c>
      <c r="K39" s="12">
        <f t="shared" si="13"/>
        <v>1.769625</v>
      </c>
      <c r="L39" s="12">
        <f t="shared" si="13"/>
        <v>1.769625</v>
      </c>
      <c r="M39" s="12">
        <f t="shared" si="13"/>
        <v>1.769625</v>
      </c>
      <c r="N39" s="12">
        <f t="shared" si="13"/>
        <v>1.769625</v>
      </c>
      <c r="O39" s="12">
        <f t="shared" si="13"/>
        <v>1.769625</v>
      </c>
      <c r="P39" s="12">
        <f t="shared" si="13"/>
        <v>1.769625</v>
      </c>
      <c r="Q39" s="12">
        <f>+P39*4</f>
        <v>7.0785</v>
      </c>
      <c r="R39" s="12">
        <f t="shared" ref="R39:T41" si="14">+Q39</f>
        <v>7.0785</v>
      </c>
      <c r="S39" s="12">
        <f t="shared" si="14"/>
        <v>7.0785</v>
      </c>
      <c r="T39" s="12">
        <f t="shared" si="14"/>
        <v>7.0785</v>
      </c>
      <c r="U39" s="12">
        <f>+T39*0.9</f>
        <v>6.3706500000000004</v>
      </c>
      <c r="V39" s="12"/>
      <c r="X39" s="9"/>
      <c r="Y39" s="11"/>
    </row>
    <row r="40" spans="1:25" s="2" customFormat="1" x14ac:dyDescent="0.2">
      <c r="A40" s="31"/>
      <c r="B40" s="1" t="s">
        <v>32</v>
      </c>
      <c r="D40" s="47">
        <f t="shared" si="13"/>
        <v>5.8125</v>
      </c>
      <c r="E40" s="12">
        <f t="shared" si="13"/>
        <v>5.8125</v>
      </c>
      <c r="F40" s="12">
        <f t="shared" si="13"/>
        <v>5.8125</v>
      </c>
      <c r="G40" s="12">
        <f t="shared" si="13"/>
        <v>5.8125</v>
      </c>
      <c r="H40" s="12">
        <f t="shared" si="13"/>
        <v>5.8125</v>
      </c>
      <c r="I40" s="12">
        <f t="shared" si="13"/>
        <v>5.8125</v>
      </c>
      <c r="J40" s="12">
        <f t="shared" si="13"/>
        <v>5.8125</v>
      </c>
      <c r="K40" s="12">
        <f t="shared" si="13"/>
        <v>5.8125</v>
      </c>
      <c r="L40" s="12">
        <f t="shared" si="13"/>
        <v>5.8125</v>
      </c>
      <c r="M40" s="12">
        <f t="shared" si="13"/>
        <v>5.8125</v>
      </c>
      <c r="N40" s="12">
        <f t="shared" si="13"/>
        <v>5.8125</v>
      </c>
      <c r="O40" s="12">
        <f t="shared" si="13"/>
        <v>5.8125</v>
      </c>
      <c r="P40" s="12">
        <f t="shared" si="13"/>
        <v>5.8125</v>
      </c>
      <c r="Q40" s="12">
        <f>+P40*4</f>
        <v>23.25</v>
      </c>
      <c r="R40" s="12">
        <f t="shared" si="14"/>
        <v>23.25</v>
      </c>
      <c r="S40" s="12">
        <f t="shared" si="14"/>
        <v>23.25</v>
      </c>
      <c r="T40" s="12">
        <f t="shared" si="14"/>
        <v>23.25</v>
      </c>
      <c r="U40" s="12">
        <f>+T40</f>
        <v>23.25</v>
      </c>
      <c r="V40" s="12">
        <f>+U40*0.25</f>
        <v>5.8125</v>
      </c>
      <c r="X40" s="9"/>
      <c r="Y40" s="11"/>
    </row>
    <row r="41" spans="1:25" s="2" customFormat="1" x14ac:dyDescent="0.2">
      <c r="A41" s="31"/>
      <c r="B41" s="1" t="s">
        <v>33</v>
      </c>
      <c r="D41" s="47">
        <f t="shared" si="13"/>
        <v>0.265625</v>
      </c>
      <c r="E41" s="12">
        <f t="shared" si="13"/>
        <v>0.265625</v>
      </c>
      <c r="F41" s="12">
        <f t="shared" si="13"/>
        <v>0.265625</v>
      </c>
      <c r="G41" s="12">
        <f t="shared" si="13"/>
        <v>0.265625</v>
      </c>
      <c r="H41" s="12">
        <f t="shared" si="13"/>
        <v>0.265625</v>
      </c>
      <c r="I41" s="12">
        <f t="shared" si="13"/>
        <v>0.265625</v>
      </c>
      <c r="J41" s="12">
        <f t="shared" si="13"/>
        <v>0.265625</v>
      </c>
      <c r="K41" s="12">
        <f t="shared" si="13"/>
        <v>0.265625</v>
      </c>
      <c r="L41" s="12">
        <f t="shared" si="13"/>
        <v>0.265625</v>
      </c>
      <c r="M41" s="12">
        <f t="shared" si="13"/>
        <v>0.265625</v>
      </c>
      <c r="N41" s="12">
        <f t="shared" si="13"/>
        <v>0.265625</v>
      </c>
      <c r="O41" s="12">
        <f t="shared" si="13"/>
        <v>0.265625</v>
      </c>
      <c r="P41" s="12">
        <f t="shared" si="13"/>
        <v>0.265625</v>
      </c>
      <c r="Q41" s="12">
        <f>+P41*4</f>
        <v>1.0625</v>
      </c>
      <c r="R41" s="12">
        <f t="shared" si="14"/>
        <v>1.0625</v>
      </c>
      <c r="S41" s="12">
        <f t="shared" si="14"/>
        <v>1.0625</v>
      </c>
      <c r="T41" s="12">
        <f t="shared" si="14"/>
        <v>1.0625</v>
      </c>
      <c r="U41" s="12">
        <f>+T41</f>
        <v>1.0625</v>
      </c>
      <c r="V41" s="12">
        <f>+U41</f>
        <v>1.0625</v>
      </c>
      <c r="X41" s="9"/>
      <c r="Y41" s="11"/>
    </row>
    <row r="42" spans="1:25" s="2" customFormat="1" x14ac:dyDescent="0.2">
      <c r="A42" s="31"/>
      <c r="B42" s="19" t="s">
        <v>101</v>
      </c>
      <c r="D42" s="47">
        <f>35.6-28.7</f>
        <v>6.9000000000000021</v>
      </c>
      <c r="E42" s="12"/>
      <c r="F42" s="12"/>
      <c r="G42" s="12"/>
      <c r="H42" s="12"/>
      <c r="I42" s="12"/>
      <c r="J42" s="12"/>
      <c r="K42" s="12"/>
      <c r="L42" s="12"/>
      <c r="M42" s="12"/>
      <c r="N42" s="12"/>
      <c r="O42" s="12"/>
      <c r="P42" s="12"/>
      <c r="Q42" s="12"/>
      <c r="R42" s="12"/>
      <c r="S42" s="12"/>
      <c r="T42" s="12"/>
      <c r="U42" s="12"/>
      <c r="V42" s="12"/>
      <c r="X42" s="9"/>
      <c r="Y42" s="11"/>
    </row>
    <row r="43" spans="1:25" s="2" customFormat="1" x14ac:dyDescent="0.2">
      <c r="A43" s="31"/>
      <c r="B43" s="25" t="s">
        <v>39</v>
      </c>
      <c r="D43" s="47"/>
      <c r="E43" s="12"/>
      <c r="F43" s="12"/>
      <c r="G43" s="12"/>
      <c r="H43" s="12"/>
      <c r="I43" s="12"/>
      <c r="J43" s="12"/>
      <c r="K43" s="12"/>
      <c r="L43" s="12"/>
      <c r="M43" s="12"/>
      <c r="N43" s="12"/>
      <c r="O43" s="12"/>
      <c r="P43" s="12"/>
      <c r="Q43" s="12"/>
      <c r="R43" s="12"/>
      <c r="S43" s="12"/>
      <c r="T43" s="12"/>
      <c r="U43" s="12"/>
      <c r="V43" s="12"/>
      <c r="X43" s="9"/>
      <c r="Y43" s="11"/>
    </row>
    <row r="44" spans="1:25" s="2" customFormat="1" x14ac:dyDescent="0.2">
      <c r="A44" s="31"/>
      <c r="B44" s="2" t="s">
        <v>18</v>
      </c>
      <c r="D44" s="47">
        <v>27.3</v>
      </c>
      <c r="E44" s="12">
        <v>32.5</v>
      </c>
      <c r="F44" s="12">
        <f t="shared" ref="F44:P44" si="15">+E44</f>
        <v>32.5</v>
      </c>
      <c r="G44" s="12">
        <f t="shared" si="15"/>
        <v>32.5</v>
      </c>
      <c r="H44" s="12">
        <f t="shared" si="15"/>
        <v>32.5</v>
      </c>
      <c r="I44" s="12">
        <v>35</v>
      </c>
      <c r="J44" s="12">
        <f t="shared" si="15"/>
        <v>35</v>
      </c>
      <c r="K44" s="12">
        <f t="shared" si="15"/>
        <v>35</v>
      </c>
      <c r="L44" s="12">
        <f t="shared" si="15"/>
        <v>35</v>
      </c>
      <c r="M44" s="12">
        <f t="shared" si="15"/>
        <v>35</v>
      </c>
      <c r="N44" s="12">
        <f t="shared" si="15"/>
        <v>35</v>
      </c>
      <c r="O44" s="12">
        <f t="shared" si="15"/>
        <v>35</v>
      </c>
      <c r="P44" s="12">
        <f t="shared" si="15"/>
        <v>35</v>
      </c>
      <c r="Q44" s="12">
        <f>+P44*4</f>
        <v>140</v>
      </c>
      <c r="R44" s="12">
        <f>+Q44</f>
        <v>140</v>
      </c>
      <c r="S44" s="12">
        <f>+R44</f>
        <v>140</v>
      </c>
      <c r="T44" s="12">
        <f>+S44</f>
        <v>140</v>
      </c>
      <c r="U44" s="12">
        <f>+T44</f>
        <v>140</v>
      </c>
      <c r="V44" s="12">
        <f>+U44</f>
        <v>140</v>
      </c>
      <c r="X44" s="9"/>
      <c r="Y44" s="11"/>
    </row>
    <row r="45" spans="1:25" s="2" customFormat="1" x14ac:dyDescent="0.2">
      <c r="A45" s="31"/>
      <c r="B45" s="2" t="s">
        <v>13</v>
      </c>
      <c r="D45" s="47"/>
      <c r="E45" s="12">
        <v>0</v>
      </c>
      <c r="F45" s="12">
        <f>+E45</f>
        <v>0</v>
      </c>
      <c r="G45" s="12">
        <f>+F45</f>
        <v>0</v>
      </c>
      <c r="H45" s="12">
        <f>+G45</f>
        <v>0</v>
      </c>
      <c r="I45" s="12"/>
      <c r="J45" s="12"/>
      <c r="K45" s="12"/>
      <c r="L45" s="12"/>
      <c r="M45" s="12"/>
      <c r="N45" s="12"/>
      <c r="O45" s="12"/>
      <c r="P45" s="12"/>
      <c r="Q45" s="12"/>
      <c r="R45" s="12"/>
      <c r="S45" s="12"/>
      <c r="T45" s="12"/>
      <c r="U45" s="12"/>
      <c r="V45" s="12"/>
      <c r="X45" s="9"/>
      <c r="Y45" s="11"/>
    </row>
    <row r="46" spans="1:25" s="2" customFormat="1" x14ac:dyDescent="0.2">
      <c r="A46" s="31"/>
      <c r="D46" s="47"/>
      <c r="E46" s="12"/>
      <c r="F46" s="12"/>
      <c r="G46" s="12"/>
      <c r="H46" s="12"/>
      <c r="I46" s="12"/>
      <c r="J46" s="12"/>
      <c r="K46" s="12"/>
      <c r="L46" s="12"/>
      <c r="M46" s="12"/>
      <c r="N46" s="12"/>
      <c r="O46" s="12"/>
      <c r="P46" s="12"/>
      <c r="Q46" s="12"/>
      <c r="R46" s="12"/>
      <c r="S46" s="12"/>
      <c r="T46" s="12"/>
      <c r="U46" s="12"/>
      <c r="V46" s="12"/>
      <c r="X46" s="9"/>
      <c r="Y46" s="11"/>
    </row>
    <row r="47" spans="1:25" s="2" customFormat="1" x14ac:dyDescent="0.2">
      <c r="A47" s="31"/>
      <c r="B47" s="2" t="s">
        <v>71</v>
      </c>
      <c r="D47" s="47">
        <v>14.7</v>
      </c>
      <c r="E47" s="12">
        <v>12.5</v>
      </c>
      <c r="F47" s="12">
        <f>+E47</f>
        <v>12.5</v>
      </c>
      <c r="G47" s="12">
        <f t="shared" ref="G47:P47" si="16">+F47</f>
        <v>12.5</v>
      </c>
      <c r="H47" s="12">
        <f t="shared" si="16"/>
        <v>12.5</v>
      </c>
      <c r="I47" s="12">
        <f t="shared" si="16"/>
        <v>12.5</v>
      </c>
      <c r="J47" s="12">
        <f t="shared" si="16"/>
        <v>12.5</v>
      </c>
      <c r="K47" s="12">
        <f t="shared" si="16"/>
        <v>12.5</v>
      </c>
      <c r="L47" s="12">
        <f t="shared" si="16"/>
        <v>12.5</v>
      </c>
      <c r="M47" s="12">
        <f t="shared" si="16"/>
        <v>12.5</v>
      </c>
      <c r="N47" s="12">
        <f t="shared" si="16"/>
        <v>12.5</v>
      </c>
      <c r="O47" s="12">
        <f t="shared" si="16"/>
        <v>12.5</v>
      </c>
      <c r="P47" s="12">
        <f t="shared" si="16"/>
        <v>12.5</v>
      </c>
      <c r="Q47" s="12">
        <f>+P47*4</f>
        <v>50</v>
      </c>
      <c r="R47" s="12">
        <f>+Q47</f>
        <v>50</v>
      </c>
      <c r="S47" s="12">
        <f>+R47</f>
        <v>50</v>
      </c>
      <c r="T47" s="12">
        <f>+S47</f>
        <v>50</v>
      </c>
      <c r="U47" s="12">
        <f>+T47</f>
        <v>50</v>
      </c>
      <c r="V47" s="12">
        <f>+U47</f>
        <v>50</v>
      </c>
      <c r="X47" s="9"/>
      <c r="Y47" s="11"/>
    </row>
    <row r="48" spans="1:25" s="2" customFormat="1" x14ac:dyDescent="0.2">
      <c r="A48" s="31"/>
      <c r="D48" s="47"/>
      <c r="E48" s="12"/>
      <c r="F48" s="12"/>
      <c r="G48" s="12"/>
      <c r="H48" s="12"/>
      <c r="I48" s="12"/>
      <c r="J48" s="12"/>
      <c r="K48" s="12"/>
      <c r="L48" s="12"/>
      <c r="M48" s="12"/>
      <c r="N48" s="12"/>
      <c r="O48" s="12"/>
      <c r="P48" s="12"/>
      <c r="Q48" s="12"/>
      <c r="R48" s="12"/>
      <c r="S48" s="12"/>
      <c r="T48" s="12"/>
      <c r="U48" s="12"/>
      <c r="V48" s="12"/>
      <c r="X48" s="9"/>
      <c r="Y48" s="11"/>
    </row>
    <row r="49" spans="1:25" s="2" customFormat="1" x14ac:dyDescent="0.2">
      <c r="A49" s="31"/>
      <c r="B49" s="2" t="s">
        <v>102</v>
      </c>
      <c r="D49" s="47">
        <v>2.9</v>
      </c>
      <c r="E49" s="12"/>
      <c r="F49" s="12"/>
      <c r="G49" s="12"/>
      <c r="H49" s="12"/>
      <c r="I49" s="12"/>
      <c r="J49" s="12"/>
      <c r="K49" s="12"/>
      <c r="L49" s="12"/>
      <c r="M49" s="12"/>
      <c r="N49" s="12"/>
      <c r="O49" s="12"/>
      <c r="P49" s="12"/>
      <c r="Q49" s="12"/>
      <c r="R49" s="12"/>
      <c r="S49" s="12"/>
      <c r="T49" s="12"/>
      <c r="U49" s="12"/>
      <c r="V49" s="12"/>
      <c r="X49" s="9"/>
      <c r="Y49" s="11"/>
    </row>
    <row r="50" spans="1:25" s="2" customFormat="1" x14ac:dyDescent="0.2">
      <c r="A50" s="31"/>
      <c r="B50" s="2" t="s">
        <v>103</v>
      </c>
      <c r="D50" s="47">
        <v>0.5</v>
      </c>
      <c r="E50" s="12"/>
      <c r="F50" s="12"/>
      <c r="G50" s="12"/>
      <c r="H50" s="12"/>
      <c r="I50" s="12"/>
      <c r="J50" s="12"/>
      <c r="K50" s="12"/>
      <c r="L50" s="12"/>
      <c r="M50" s="12"/>
      <c r="N50" s="12"/>
      <c r="O50" s="12"/>
      <c r="P50" s="12"/>
      <c r="Q50" s="12"/>
      <c r="R50" s="12"/>
      <c r="S50" s="12"/>
      <c r="T50" s="12"/>
      <c r="U50" s="12"/>
      <c r="V50" s="12"/>
      <c r="X50" s="9"/>
      <c r="Y50" s="11"/>
    </row>
    <row r="51" spans="1:25" s="2" customFormat="1" x14ac:dyDescent="0.2">
      <c r="A51" s="31"/>
      <c r="B51" s="25" t="s">
        <v>19</v>
      </c>
      <c r="C51" s="108" t="s">
        <v>107</v>
      </c>
      <c r="D51" s="47">
        <v>10</v>
      </c>
      <c r="E51" s="12">
        <v>0</v>
      </c>
      <c r="F51" s="12">
        <v>0</v>
      </c>
      <c r="G51" s="12">
        <f t="shared" ref="G51:P51" si="17">+F51</f>
        <v>0</v>
      </c>
      <c r="H51" s="12">
        <f t="shared" si="17"/>
        <v>0</v>
      </c>
      <c r="I51" s="12">
        <f t="shared" si="17"/>
        <v>0</v>
      </c>
      <c r="J51" s="12">
        <f t="shared" si="17"/>
        <v>0</v>
      </c>
      <c r="K51" s="12">
        <f t="shared" si="17"/>
        <v>0</v>
      </c>
      <c r="L51" s="12">
        <f t="shared" si="17"/>
        <v>0</v>
      </c>
      <c r="M51" s="12">
        <f t="shared" si="17"/>
        <v>0</v>
      </c>
      <c r="N51" s="12">
        <f t="shared" si="17"/>
        <v>0</v>
      </c>
      <c r="O51" s="12">
        <f t="shared" si="17"/>
        <v>0</v>
      </c>
      <c r="P51" s="12">
        <f t="shared" si="17"/>
        <v>0</v>
      </c>
      <c r="Q51" s="12">
        <f>+P51*4</f>
        <v>0</v>
      </c>
      <c r="R51" s="12">
        <f>+Q51</f>
        <v>0</v>
      </c>
      <c r="S51" s="12">
        <f>+R51</f>
        <v>0</v>
      </c>
      <c r="T51" s="12">
        <f>+S51</f>
        <v>0</v>
      </c>
      <c r="U51" s="12">
        <f>+T51</f>
        <v>0</v>
      </c>
      <c r="V51" s="12">
        <f>+U51</f>
        <v>0</v>
      </c>
      <c r="X51" s="9"/>
      <c r="Y51" s="11"/>
    </row>
    <row r="52" spans="1:25" s="2" customFormat="1" x14ac:dyDescent="0.2">
      <c r="A52" s="31"/>
      <c r="C52" s="108"/>
      <c r="D52" s="48"/>
      <c r="E52" s="13"/>
      <c r="F52" s="13"/>
      <c r="G52" s="13"/>
      <c r="H52" s="13"/>
      <c r="I52" s="13"/>
      <c r="J52" s="13"/>
      <c r="K52" s="13"/>
      <c r="L52" s="13"/>
      <c r="M52" s="13"/>
      <c r="N52" s="13"/>
      <c r="O52" s="13"/>
      <c r="P52" s="13"/>
      <c r="Q52" s="13"/>
      <c r="R52" s="13"/>
      <c r="S52" s="13"/>
      <c r="T52" s="13"/>
      <c r="U52" s="13"/>
      <c r="V52" s="13"/>
      <c r="X52" s="9"/>
      <c r="Y52" s="11"/>
    </row>
    <row r="53" spans="1:25" s="26" customFormat="1" x14ac:dyDescent="0.2">
      <c r="A53" s="32" t="s">
        <v>40</v>
      </c>
      <c r="B53" s="25" t="s">
        <v>21</v>
      </c>
      <c r="D53" s="46">
        <f>SUM(D28:D52)</f>
        <v>90.959500000000006</v>
      </c>
      <c r="E53" s="27">
        <f>SUM(E28:E52)</f>
        <v>75.033500000000004</v>
      </c>
      <c r="F53" s="27">
        <f t="shared" ref="F53:R53" si="18">SUM(F28:F52)</f>
        <v>74.746000000000009</v>
      </c>
      <c r="G53" s="27">
        <f t="shared" si="18"/>
        <v>74.458500000000001</v>
      </c>
      <c r="H53" s="27">
        <f t="shared" si="18"/>
        <v>74.170999999999992</v>
      </c>
      <c r="I53" s="27">
        <f t="shared" si="18"/>
        <v>75.069000000000003</v>
      </c>
      <c r="J53" s="27">
        <f t="shared" si="18"/>
        <v>72.834500000000006</v>
      </c>
      <c r="K53" s="27">
        <f t="shared" si="18"/>
        <v>70.722000000000008</v>
      </c>
      <c r="L53" s="27">
        <f t="shared" si="18"/>
        <v>68.747</v>
      </c>
      <c r="M53" s="27">
        <f t="shared" si="18"/>
        <v>67.356375</v>
      </c>
      <c r="N53" s="27">
        <f t="shared" si="18"/>
        <v>63.716250000000002</v>
      </c>
      <c r="O53" s="27">
        <f t="shared" si="18"/>
        <v>63.716250000000002</v>
      </c>
      <c r="P53" s="27">
        <f t="shared" si="18"/>
        <v>63.716250000000002</v>
      </c>
      <c r="Q53" s="27">
        <f t="shared" si="18"/>
        <v>239.691</v>
      </c>
      <c r="R53" s="27">
        <f t="shared" si="18"/>
        <v>224.191</v>
      </c>
      <c r="S53" s="27">
        <f>SUM(S28:S52)</f>
        <v>221.39099999999999</v>
      </c>
      <c r="T53" s="27">
        <f>SUM(T28:T52)</f>
        <v>221.39099999999999</v>
      </c>
      <c r="U53" s="27">
        <f>SUM(U28:U52)</f>
        <v>220.68315000000001</v>
      </c>
      <c r="V53" s="27">
        <f>SUM(V28:V52)</f>
        <v>196.875</v>
      </c>
      <c r="X53" s="28"/>
      <c r="Y53" s="29"/>
    </row>
    <row r="54" spans="1:25" s="26" customFormat="1" x14ac:dyDescent="0.2">
      <c r="A54" s="32"/>
      <c r="B54" s="25"/>
      <c r="D54" s="46"/>
      <c r="E54" s="27"/>
      <c r="F54" s="27"/>
      <c r="G54" s="27"/>
      <c r="H54" s="27"/>
      <c r="I54" s="27"/>
      <c r="J54" s="27"/>
      <c r="K54" s="27"/>
      <c r="L54" s="27"/>
      <c r="M54" s="27"/>
      <c r="N54" s="27"/>
      <c r="O54" s="27"/>
      <c r="P54" s="27"/>
      <c r="Q54" s="27"/>
      <c r="R54" s="27"/>
      <c r="S54" s="27"/>
      <c r="T54" s="27"/>
      <c r="U54" s="27"/>
      <c r="V54" s="27"/>
      <c r="X54" s="28"/>
      <c r="Y54" s="29"/>
    </row>
    <row r="55" spans="1:25" s="26" customFormat="1" x14ac:dyDescent="0.2">
      <c r="A55" s="32"/>
      <c r="B55" s="3" t="s">
        <v>35</v>
      </c>
      <c r="C55" s="3"/>
      <c r="D55" s="47">
        <v>52</v>
      </c>
      <c r="E55" s="27"/>
      <c r="F55" s="27"/>
      <c r="G55" s="27"/>
      <c r="H55" s="27"/>
      <c r="I55" s="27"/>
      <c r="J55" s="27"/>
      <c r="K55" s="27"/>
      <c r="L55" s="27"/>
      <c r="M55" s="27"/>
      <c r="N55" s="27"/>
      <c r="O55" s="27"/>
      <c r="P55" s="27"/>
      <c r="Q55" s="27"/>
      <c r="R55" s="27"/>
      <c r="S55" s="27"/>
      <c r="T55" s="27"/>
      <c r="U55" s="27"/>
      <c r="V55" s="27"/>
      <c r="X55" s="28"/>
      <c r="Y55" s="29"/>
    </row>
    <row r="56" spans="1:25" s="2" customFormat="1" x14ac:dyDescent="0.2">
      <c r="A56" s="31"/>
      <c r="B56" s="3" t="s">
        <v>54</v>
      </c>
      <c r="C56" s="3"/>
      <c r="D56" s="48">
        <v>72</v>
      </c>
      <c r="E56" s="13"/>
      <c r="F56" s="13"/>
      <c r="G56" s="13"/>
      <c r="H56" s="13"/>
      <c r="I56" s="13"/>
      <c r="J56" s="13"/>
      <c r="K56" s="13"/>
      <c r="L56" s="13"/>
      <c r="M56" s="13"/>
      <c r="N56" s="13"/>
      <c r="O56" s="13"/>
      <c r="P56" s="13"/>
      <c r="Q56" s="13"/>
      <c r="R56" s="13"/>
      <c r="S56" s="13"/>
      <c r="T56" s="13"/>
      <c r="U56" s="13"/>
      <c r="V56" s="13"/>
      <c r="X56" s="9"/>
      <c r="Y56" s="11"/>
    </row>
    <row r="57" spans="1:25" s="26" customFormat="1" ht="13.5" thickBot="1" x14ac:dyDescent="0.25">
      <c r="A57" s="32" t="s">
        <v>41</v>
      </c>
      <c r="B57" s="25" t="s">
        <v>43</v>
      </c>
      <c r="C57" s="32" t="s">
        <v>44</v>
      </c>
      <c r="D57" s="49">
        <f>+D23-D53+D56+D55</f>
        <v>180.17590000000001</v>
      </c>
      <c r="E57" s="33">
        <f t="shared" ref="E57:R57" si="19">+E23-E53</f>
        <v>68.030942400000015</v>
      </c>
      <c r="F57" s="33">
        <f t="shared" si="19"/>
        <v>63.922496208000013</v>
      </c>
      <c r="G57" s="33">
        <f t="shared" si="19"/>
        <v>59.75720692578399</v>
      </c>
      <c r="H57" s="33">
        <f t="shared" si="19"/>
        <v>56.881438019424508</v>
      </c>
      <c r="I57" s="33">
        <f t="shared" si="19"/>
        <v>52.191197843614717</v>
      </c>
      <c r="J57" s="33">
        <f t="shared" si="19"/>
        <v>50.968497658830458</v>
      </c>
      <c r="K57" s="33">
        <f t="shared" si="19"/>
        <v>49.94817253974206</v>
      </c>
      <c r="L57" s="33">
        <f t="shared" si="19"/>
        <v>49.104863893786714</v>
      </c>
      <c r="M57" s="33">
        <f t="shared" si="19"/>
        <v>48.727314655106468</v>
      </c>
      <c r="N57" s="33">
        <f t="shared" si="19"/>
        <v>50.830843932697206</v>
      </c>
      <c r="O57" s="33">
        <f t="shared" si="19"/>
        <v>49.522557320082683</v>
      </c>
      <c r="P57" s="33">
        <f t="shared" si="19"/>
        <v>48.439765666842277</v>
      </c>
      <c r="Q57" s="142">
        <f t="shared" si="19"/>
        <v>208.93306266736911</v>
      </c>
      <c r="R57" s="142">
        <f t="shared" si="19"/>
        <v>212.08601168894259</v>
      </c>
      <c r="S57" s="142">
        <f>+S23-S53</f>
        <v>246.48028278140791</v>
      </c>
      <c r="T57" s="142">
        <f>+T23-T53</f>
        <v>282.813694537743</v>
      </c>
      <c r="U57" s="142">
        <f>+U23-U53</f>
        <v>325.30496805752836</v>
      </c>
      <c r="V57" s="142">
        <f>+V23-V53</f>
        <v>397.16405510528148</v>
      </c>
      <c r="X57" s="28"/>
      <c r="Y57" s="29"/>
    </row>
    <row r="58" spans="1:25" s="26" customFormat="1" ht="13.5" thickTop="1" x14ac:dyDescent="0.2">
      <c r="A58" s="32"/>
      <c r="B58" s="25"/>
      <c r="C58" s="32"/>
      <c r="D58" s="46"/>
      <c r="E58" s="38"/>
      <c r="F58" s="38"/>
      <c r="G58" s="38"/>
      <c r="H58" s="38"/>
      <c r="I58" s="38"/>
      <c r="J58" s="38"/>
      <c r="K58" s="38"/>
      <c r="L58" s="38"/>
      <c r="M58" s="38"/>
      <c r="N58" s="38"/>
      <c r="O58" s="38"/>
      <c r="P58" s="38"/>
      <c r="Q58" s="38"/>
      <c r="R58" s="38"/>
      <c r="S58" s="38"/>
      <c r="T58" s="38"/>
      <c r="U58" s="38"/>
      <c r="V58" s="38"/>
      <c r="X58" s="28"/>
      <c r="Y58" s="29"/>
    </row>
    <row r="59" spans="1:25" s="26" customFormat="1" x14ac:dyDescent="0.2">
      <c r="A59" s="32"/>
      <c r="B59" s="25"/>
      <c r="C59" s="32"/>
      <c r="D59" s="46"/>
      <c r="E59" s="38"/>
      <c r="F59" s="38"/>
      <c r="G59" s="38"/>
      <c r="H59" s="38"/>
      <c r="I59" s="38"/>
      <c r="J59" s="38"/>
      <c r="K59" s="38"/>
      <c r="L59" s="38"/>
      <c r="M59" s="38"/>
      <c r="N59" s="38"/>
      <c r="O59" s="38"/>
      <c r="P59" s="38"/>
      <c r="Q59" s="38"/>
      <c r="R59" s="38"/>
      <c r="S59" s="38"/>
      <c r="T59" s="38"/>
      <c r="U59" s="38"/>
      <c r="V59" s="38"/>
      <c r="X59" s="28"/>
      <c r="Y59" s="29"/>
    </row>
    <row r="60" spans="1:25" s="26" customFormat="1" x14ac:dyDescent="0.2">
      <c r="A60" s="32"/>
      <c r="B60" s="25"/>
      <c r="C60" s="32"/>
      <c r="D60" s="46"/>
      <c r="E60" s="38"/>
      <c r="F60" s="38"/>
      <c r="G60" s="38"/>
      <c r="H60" s="38"/>
      <c r="I60" s="38"/>
      <c r="J60" s="38"/>
      <c r="K60" s="38"/>
      <c r="L60" s="38"/>
      <c r="M60" s="38"/>
      <c r="N60" s="38"/>
      <c r="O60" s="38"/>
      <c r="P60" s="38"/>
      <c r="Q60" s="38"/>
      <c r="R60" s="38"/>
      <c r="S60" s="38"/>
      <c r="T60" s="38"/>
      <c r="U60" s="38"/>
      <c r="V60" s="38"/>
      <c r="X60" s="28"/>
      <c r="Y60" s="29"/>
    </row>
    <row r="61" spans="1:25" s="26" customFormat="1" x14ac:dyDescent="0.2">
      <c r="A61" s="32"/>
      <c r="B61" s="25"/>
      <c r="C61" s="32"/>
      <c r="D61" s="46"/>
      <c r="E61" s="38"/>
      <c r="F61" s="38"/>
      <c r="G61" s="38"/>
      <c r="H61" s="38"/>
      <c r="I61" s="38"/>
      <c r="J61" s="38"/>
      <c r="K61" s="38"/>
      <c r="L61" s="38"/>
      <c r="M61" s="38"/>
      <c r="N61" s="38"/>
      <c r="O61" s="38"/>
      <c r="P61" s="38"/>
      <c r="Q61" s="38"/>
      <c r="R61" s="38"/>
      <c r="S61" s="38"/>
      <c r="T61" s="38"/>
      <c r="U61" s="38"/>
      <c r="V61" s="38"/>
      <c r="X61" s="28"/>
      <c r="Y61" s="29"/>
    </row>
    <row r="62" spans="1:25" s="2" customFormat="1" x14ac:dyDescent="0.2">
      <c r="A62" s="31"/>
      <c r="B62" s="3"/>
      <c r="C62" s="3"/>
      <c r="D62" s="47"/>
      <c r="E62" s="12"/>
      <c r="F62" s="12"/>
      <c r="G62" s="12"/>
      <c r="H62" s="12"/>
      <c r="I62" s="12"/>
      <c r="J62" s="12"/>
      <c r="K62" s="12"/>
      <c r="L62" s="12"/>
      <c r="M62" s="12"/>
      <c r="N62" s="12"/>
      <c r="O62" s="12"/>
      <c r="P62" s="12"/>
      <c r="Q62" s="12"/>
      <c r="R62" s="12"/>
      <c r="S62" s="12"/>
      <c r="T62" s="12"/>
      <c r="U62" s="12"/>
      <c r="V62" s="12"/>
      <c r="X62" s="39" t="s">
        <v>55</v>
      </c>
      <c r="Y62" s="40" t="s">
        <v>49</v>
      </c>
    </row>
    <row r="63" spans="1:25" x14ac:dyDescent="0.2">
      <c r="B63" s="54" t="s">
        <v>22</v>
      </c>
      <c r="D63" s="50"/>
      <c r="E63" s="14"/>
      <c r="F63" s="14"/>
      <c r="G63" s="14"/>
      <c r="H63" s="14"/>
      <c r="I63" s="14"/>
      <c r="J63" s="14"/>
      <c r="K63" s="14"/>
      <c r="L63" s="14"/>
      <c r="M63" s="14"/>
      <c r="N63" s="14"/>
      <c r="O63" s="14"/>
      <c r="P63" s="14"/>
      <c r="Q63" s="14"/>
      <c r="R63" s="14"/>
      <c r="S63" s="14"/>
      <c r="T63" s="14"/>
      <c r="U63" s="14"/>
      <c r="V63" s="14"/>
      <c r="X63" s="41" t="s">
        <v>22</v>
      </c>
      <c r="Y63" s="42" t="s">
        <v>48</v>
      </c>
    </row>
    <row r="64" spans="1:25" x14ac:dyDescent="0.2">
      <c r="A64" s="17" t="s">
        <v>42</v>
      </c>
      <c r="B64" s="1" t="s">
        <v>87</v>
      </c>
      <c r="C64" s="1">
        <v>250</v>
      </c>
      <c r="D64" s="50">
        <v>45</v>
      </c>
      <c r="E64" s="14">
        <v>25</v>
      </c>
      <c r="F64" s="14">
        <v>25</v>
      </c>
      <c r="G64" s="14">
        <v>25</v>
      </c>
      <c r="H64" s="14">
        <v>25</v>
      </c>
      <c r="I64" s="14">
        <f>250-(+D64+E64+F64+G64+H64)</f>
        <v>105</v>
      </c>
      <c r="J64" s="14"/>
      <c r="K64" s="14"/>
      <c r="L64" s="14"/>
      <c r="M64" s="14"/>
      <c r="N64" s="14"/>
      <c r="O64" s="14"/>
      <c r="P64" s="14"/>
      <c r="Q64" s="14"/>
      <c r="R64" s="14"/>
      <c r="S64" s="14"/>
      <c r="T64" s="14"/>
      <c r="U64" s="14"/>
      <c r="V64" s="14"/>
      <c r="X64" s="10">
        <f>+C64-D64-E64</f>
        <v>180</v>
      </c>
      <c r="Y64" s="5">
        <f>+X64*0.044</f>
        <v>7.92</v>
      </c>
    </row>
    <row r="65" spans="1:25" x14ac:dyDescent="0.2">
      <c r="A65" s="17" t="s">
        <v>42</v>
      </c>
      <c r="B65" s="1" t="s">
        <v>88</v>
      </c>
      <c r="C65" s="1">
        <v>16</v>
      </c>
      <c r="D65" s="50">
        <v>16</v>
      </c>
      <c r="E65" s="36">
        <v>-239</v>
      </c>
      <c r="F65" s="14"/>
      <c r="G65" s="14"/>
      <c r="H65" s="14"/>
      <c r="I65" s="36">
        <v>239</v>
      </c>
      <c r="J65" s="14"/>
      <c r="K65" s="14"/>
      <c r="L65" s="14"/>
      <c r="M65" s="143">
        <v>-150</v>
      </c>
      <c r="N65" s="14"/>
      <c r="O65" s="14"/>
      <c r="P65" s="143">
        <v>150</v>
      </c>
      <c r="Q65" s="14"/>
      <c r="R65" s="14"/>
      <c r="S65" s="14"/>
      <c r="T65" s="14"/>
      <c r="U65" s="14"/>
      <c r="V65" s="14"/>
      <c r="X65" s="10">
        <v>239</v>
      </c>
      <c r="Y65" s="5">
        <f>+X65*0.044</f>
        <v>10.516</v>
      </c>
    </row>
    <row r="66" spans="1:25" x14ac:dyDescent="0.2">
      <c r="A66" s="17" t="s">
        <v>42</v>
      </c>
      <c r="B66" s="1" t="s">
        <v>25</v>
      </c>
      <c r="C66" s="1">
        <v>35</v>
      </c>
      <c r="D66" s="50">
        <v>35</v>
      </c>
      <c r="E66" s="14"/>
      <c r="F66" s="14"/>
      <c r="G66" s="14"/>
      <c r="H66" s="14"/>
      <c r="I66" s="14"/>
      <c r="J66" s="14"/>
      <c r="K66" s="14"/>
      <c r="L66" s="14"/>
      <c r="M66" s="14"/>
      <c r="N66" s="14"/>
      <c r="O66" s="14"/>
      <c r="P66" s="14"/>
      <c r="Q66" s="14"/>
      <c r="R66" s="14"/>
      <c r="S66" s="14"/>
      <c r="T66" s="14"/>
      <c r="U66" s="14"/>
      <c r="V66" s="14"/>
      <c r="X66" s="10">
        <f>+C66-D66</f>
        <v>0</v>
      </c>
    </row>
    <row r="67" spans="1:25" x14ac:dyDescent="0.2">
      <c r="A67" s="17" t="s">
        <v>42</v>
      </c>
      <c r="B67" s="102" t="s">
        <v>34</v>
      </c>
      <c r="C67" s="8">
        <f>+X67</f>
        <v>184</v>
      </c>
      <c r="D67" s="50"/>
      <c r="E67" s="14"/>
      <c r="F67" s="14"/>
      <c r="G67" s="14"/>
      <c r="H67" s="14"/>
      <c r="I67" s="14"/>
      <c r="J67" s="14"/>
      <c r="K67" s="14"/>
      <c r="L67" s="14"/>
      <c r="M67" s="14"/>
      <c r="N67" s="14"/>
      <c r="O67" s="14"/>
      <c r="P67" s="14"/>
      <c r="Q67" s="14"/>
      <c r="R67" s="14"/>
      <c r="S67" s="14">
        <v>184</v>
      </c>
      <c r="T67" s="14"/>
      <c r="U67" s="14"/>
      <c r="V67" s="14"/>
      <c r="X67" s="10">
        <f t="shared" ref="X67:X76" si="20">SUM(D67:W67)</f>
        <v>184</v>
      </c>
      <c r="Y67" s="5">
        <f>+X67*0.0625</f>
        <v>11.5</v>
      </c>
    </row>
    <row r="68" spans="1:25" x14ac:dyDescent="0.2">
      <c r="A68" s="17" t="s">
        <v>42</v>
      </c>
      <c r="B68" s="19" t="s">
        <v>14</v>
      </c>
      <c r="C68" s="1"/>
      <c r="D68" s="50"/>
      <c r="E68" s="14"/>
      <c r="F68" s="14"/>
      <c r="G68" s="14"/>
      <c r="H68" s="14"/>
      <c r="I68" s="14"/>
      <c r="J68" s="14"/>
      <c r="K68" s="14"/>
      <c r="L68" s="14"/>
      <c r="M68" s="14"/>
      <c r="N68" s="14"/>
      <c r="O68" s="14"/>
      <c r="P68" s="14"/>
      <c r="Q68" s="14"/>
      <c r="R68" s="14"/>
      <c r="S68" s="14"/>
      <c r="T68" s="14"/>
      <c r="U68" s="14"/>
      <c r="V68" s="14"/>
    </row>
    <row r="69" spans="1:25" x14ac:dyDescent="0.2">
      <c r="A69" s="17" t="s">
        <v>42</v>
      </c>
      <c r="B69" s="7" t="s">
        <v>27</v>
      </c>
      <c r="C69" s="8">
        <v>130</v>
      </c>
      <c r="D69" s="50"/>
      <c r="E69" s="14"/>
      <c r="F69" s="14"/>
      <c r="G69" s="14"/>
      <c r="H69" s="14"/>
      <c r="I69" s="14"/>
      <c r="J69" s="14"/>
      <c r="K69" s="14">
        <v>130</v>
      </c>
      <c r="L69" s="14"/>
      <c r="M69" s="14"/>
      <c r="N69" s="14"/>
      <c r="O69" s="14"/>
      <c r="P69" s="14"/>
      <c r="Q69" s="14"/>
      <c r="R69" s="14"/>
      <c r="S69" s="14"/>
      <c r="T69" s="14"/>
      <c r="U69" s="14"/>
      <c r="V69" s="14"/>
      <c r="X69" s="10">
        <f t="shared" si="20"/>
        <v>130</v>
      </c>
      <c r="Y69" s="5">
        <f>+X69*0.065</f>
        <v>8.4500000000000011</v>
      </c>
    </row>
    <row r="70" spans="1:25" x14ac:dyDescent="0.2">
      <c r="A70" s="17" t="s">
        <v>42</v>
      </c>
      <c r="B70" s="1" t="s">
        <v>26</v>
      </c>
      <c r="C70" s="8">
        <v>125</v>
      </c>
      <c r="D70" s="50"/>
      <c r="E70" s="14"/>
      <c r="F70" s="14"/>
      <c r="G70" s="14"/>
      <c r="H70" s="14"/>
      <c r="I70" s="14"/>
      <c r="J70" s="14"/>
      <c r="K70" s="14"/>
      <c r="L70" s="14">
        <v>125</v>
      </c>
      <c r="M70" s="14"/>
      <c r="N70" s="14"/>
      <c r="O70" s="14"/>
      <c r="P70" s="14"/>
      <c r="Q70" s="14"/>
      <c r="R70" s="14"/>
      <c r="S70" s="14"/>
      <c r="T70" s="14"/>
      <c r="U70" s="14"/>
      <c r="V70" s="14"/>
      <c r="X70" s="10">
        <f t="shared" si="20"/>
        <v>125</v>
      </c>
      <c r="Y70" s="5">
        <f>+X70*0.0685</f>
        <v>8.5625</v>
      </c>
    </row>
    <row r="71" spans="1:25" x14ac:dyDescent="0.2">
      <c r="A71" s="17" t="s">
        <v>42</v>
      </c>
      <c r="B71" s="1" t="s">
        <v>28</v>
      </c>
      <c r="C71" s="8">
        <v>255</v>
      </c>
      <c r="D71" s="50"/>
      <c r="E71" s="14"/>
      <c r="F71" s="14"/>
      <c r="G71" s="14"/>
      <c r="H71" s="14"/>
      <c r="I71" s="14"/>
      <c r="J71" s="14"/>
      <c r="K71" s="14"/>
      <c r="L71" s="14"/>
      <c r="M71" s="14"/>
      <c r="N71" s="14">
        <v>255</v>
      </c>
      <c r="O71" s="14"/>
      <c r="P71" s="14"/>
      <c r="Q71" s="14"/>
      <c r="R71" s="14"/>
      <c r="S71" s="14"/>
      <c r="T71" s="14"/>
      <c r="U71" s="14"/>
      <c r="V71" s="14"/>
      <c r="X71" s="10">
        <f t="shared" si="20"/>
        <v>255</v>
      </c>
      <c r="Y71" s="5">
        <f>+X71*0.0571</f>
        <v>14.560499999999999</v>
      </c>
    </row>
    <row r="72" spans="1:25" x14ac:dyDescent="0.2">
      <c r="A72" s="17" t="s">
        <v>42</v>
      </c>
      <c r="B72" s="1" t="s">
        <v>29</v>
      </c>
      <c r="C72" s="8">
        <v>138</v>
      </c>
      <c r="D72" s="50"/>
      <c r="E72" s="14"/>
      <c r="F72" s="14"/>
      <c r="G72" s="14"/>
      <c r="H72" s="14"/>
      <c r="I72" s="14"/>
      <c r="J72" s="14"/>
      <c r="K72" s="14"/>
      <c r="L72" s="14"/>
      <c r="M72" s="14"/>
      <c r="N72" s="14"/>
      <c r="O72" s="14"/>
      <c r="P72" s="14"/>
      <c r="Q72" s="14">
        <v>138</v>
      </c>
      <c r="R72" s="14"/>
      <c r="S72" s="14"/>
      <c r="T72" s="14"/>
      <c r="U72" s="14"/>
      <c r="V72" s="14"/>
      <c r="X72" s="10">
        <f t="shared" si="20"/>
        <v>138</v>
      </c>
      <c r="Y72" s="5">
        <f>+X72*0.073</f>
        <v>10.074</v>
      </c>
    </row>
    <row r="73" spans="1:25" x14ac:dyDescent="0.2">
      <c r="A73" s="17" t="s">
        <v>42</v>
      </c>
      <c r="B73" s="1" t="s">
        <v>30</v>
      </c>
      <c r="C73" s="8">
        <v>320</v>
      </c>
      <c r="D73" s="50"/>
      <c r="E73" s="14"/>
      <c r="F73" s="14"/>
      <c r="G73" s="14"/>
      <c r="H73" s="14"/>
      <c r="I73" s="14"/>
      <c r="J73" s="14"/>
      <c r="K73" s="14"/>
      <c r="L73" s="14"/>
      <c r="M73" s="14"/>
      <c r="N73" s="14"/>
      <c r="O73" s="14"/>
      <c r="P73" s="14"/>
      <c r="Q73" s="14"/>
      <c r="R73" s="14">
        <v>320</v>
      </c>
      <c r="S73" s="14"/>
      <c r="T73" s="14"/>
      <c r="U73" s="14"/>
      <c r="V73" s="14"/>
      <c r="X73" s="10">
        <f t="shared" si="20"/>
        <v>320</v>
      </c>
      <c r="Y73" s="5">
        <f>+X73*0.0525</f>
        <v>16.8</v>
      </c>
    </row>
    <row r="74" spans="1:25" x14ac:dyDescent="0.2">
      <c r="A74" s="17" t="s">
        <v>42</v>
      </c>
      <c r="B74" s="1" t="s">
        <v>31</v>
      </c>
      <c r="C74" s="8">
        <v>121</v>
      </c>
      <c r="D74" s="50"/>
      <c r="E74" s="14"/>
      <c r="F74" s="14"/>
      <c r="G74" s="14"/>
      <c r="H74" s="14"/>
      <c r="I74" s="14"/>
      <c r="J74" s="14"/>
      <c r="K74" s="14"/>
      <c r="L74" s="14"/>
      <c r="M74" s="14"/>
      <c r="N74" s="14"/>
      <c r="O74" s="14"/>
      <c r="P74" s="14"/>
      <c r="Q74" s="14"/>
      <c r="R74" s="14"/>
      <c r="S74" s="14"/>
      <c r="T74" s="14"/>
      <c r="U74" s="14">
        <v>121</v>
      </c>
      <c r="V74" s="14"/>
      <c r="X74" s="10">
        <f t="shared" si="20"/>
        <v>121</v>
      </c>
      <c r="Y74" s="5">
        <f>+X74*0.0585</f>
        <v>7.0785</v>
      </c>
    </row>
    <row r="75" spans="1:25" x14ac:dyDescent="0.2">
      <c r="A75" s="17" t="s">
        <v>42</v>
      </c>
      <c r="B75" s="1" t="s">
        <v>32</v>
      </c>
      <c r="C75" s="8">
        <v>300</v>
      </c>
      <c r="D75" s="50"/>
      <c r="E75" s="14"/>
      <c r="F75" s="14"/>
      <c r="G75" s="14"/>
      <c r="H75" s="14"/>
      <c r="I75" s="14"/>
      <c r="J75" s="14"/>
      <c r="K75" s="14"/>
      <c r="L75" s="14"/>
      <c r="M75" s="14"/>
      <c r="N75" s="14"/>
      <c r="O75" s="14"/>
      <c r="P75" s="14"/>
      <c r="Q75" s="14"/>
      <c r="R75" s="14"/>
      <c r="S75" s="14"/>
      <c r="T75" s="14"/>
      <c r="U75" s="14"/>
      <c r="V75" s="14">
        <v>300</v>
      </c>
      <c r="X75" s="10">
        <f t="shared" si="20"/>
        <v>300</v>
      </c>
      <c r="Y75" s="5">
        <f>+X75*0.0775</f>
        <v>23.25</v>
      </c>
    </row>
    <row r="76" spans="1:25" x14ac:dyDescent="0.2">
      <c r="A76" s="17" t="s">
        <v>42</v>
      </c>
      <c r="B76" s="1" t="s">
        <v>33</v>
      </c>
      <c r="C76" s="8">
        <v>17</v>
      </c>
      <c r="D76" s="50"/>
      <c r="E76" s="14"/>
      <c r="F76" s="14"/>
      <c r="G76" s="14"/>
      <c r="H76" s="14"/>
      <c r="I76" s="14"/>
      <c r="J76" s="14"/>
      <c r="K76" s="14"/>
      <c r="L76" s="14"/>
      <c r="M76" s="14"/>
      <c r="N76" s="14"/>
      <c r="O76" s="14"/>
      <c r="P76" s="14"/>
      <c r="Q76" s="14"/>
      <c r="R76" s="14"/>
      <c r="S76" s="14"/>
      <c r="T76" s="14"/>
      <c r="U76" s="14"/>
      <c r="V76" s="14">
        <v>17</v>
      </c>
      <c r="X76" s="10">
        <f t="shared" si="20"/>
        <v>17</v>
      </c>
      <c r="Y76" s="5">
        <f>+X76*0.0625</f>
        <v>1.0625</v>
      </c>
    </row>
    <row r="77" spans="1:25" ht="13.5" thickBot="1" x14ac:dyDescent="0.25">
      <c r="B77" s="19" t="s">
        <v>69</v>
      </c>
      <c r="C77" s="70">
        <f>SUM(C64:C76)</f>
        <v>1891</v>
      </c>
      <c r="D77" s="50"/>
      <c r="E77" s="14"/>
      <c r="F77" s="14"/>
      <c r="G77" s="14"/>
      <c r="H77" s="14"/>
      <c r="I77" s="14"/>
      <c r="J77" s="14"/>
      <c r="K77" s="14"/>
      <c r="L77" s="14"/>
      <c r="M77" s="14"/>
      <c r="N77" s="14"/>
      <c r="O77" s="14"/>
      <c r="P77" s="14"/>
      <c r="Q77" s="14"/>
      <c r="R77" s="14"/>
      <c r="S77" s="14"/>
      <c r="T77" s="14"/>
      <c r="U77" s="14"/>
      <c r="V77" s="14"/>
    </row>
    <row r="78" spans="1:25" s="16" customFormat="1" ht="14.25" thickTop="1" thickBot="1" x14ac:dyDescent="0.25">
      <c r="A78" s="17" t="s">
        <v>45</v>
      </c>
      <c r="B78" s="16" t="s">
        <v>53</v>
      </c>
      <c r="C78" s="17" t="s">
        <v>51</v>
      </c>
      <c r="D78" s="117">
        <f t="shared" ref="D78:R78" si="21">-SUM(D62:D77)+D57</f>
        <v>84.175900000000013</v>
      </c>
      <c r="E78" s="118">
        <f t="shared" si="21"/>
        <v>282.03094240000001</v>
      </c>
      <c r="F78" s="118">
        <f t="shared" si="21"/>
        <v>38.922496208000013</v>
      </c>
      <c r="G78" s="118">
        <f t="shared" si="21"/>
        <v>34.75720692578399</v>
      </c>
      <c r="H78" s="118">
        <f t="shared" si="21"/>
        <v>31.881438019424508</v>
      </c>
      <c r="I78" s="118">
        <f t="shared" si="21"/>
        <v>-291.8088021563853</v>
      </c>
      <c r="J78" s="118">
        <f t="shared" si="21"/>
        <v>50.968497658830458</v>
      </c>
      <c r="K78" s="118">
        <f t="shared" si="21"/>
        <v>-80.05182746025794</v>
      </c>
      <c r="L78" s="118">
        <f t="shared" si="21"/>
        <v>-75.895136106213286</v>
      </c>
      <c r="M78" s="118">
        <f t="shared" si="21"/>
        <v>198.72731465510645</v>
      </c>
      <c r="N78" s="118">
        <f t="shared" si="21"/>
        <v>-204.16915606730279</v>
      </c>
      <c r="O78" s="118">
        <f t="shared" si="21"/>
        <v>49.522557320082683</v>
      </c>
      <c r="P78" s="118">
        <f t="shared" si="21"/>
        <v>-101.56023433315772</v>
      </c>
      <c r="Q78" s="118">
        <f t="shared" si="21"/>
        <v>70.933062667369114</v>
      </c>
      <c r="R78" s="118">
        <f t="shared" si="21"/>
        <v>-107.91398831105741</v>
      </c>
      <c r="S78" s="118">
        <f>-SUM(S62:S77)+S57</f>
        <v>62.480282781407908</v>
      </c>
      <c r="T78" s="118">
        <f>-SUM(T62:T77)+T57</f>
        <v>282.813694537743</v>
      </c>
      <c r="U78" s="118">
        <f>-SUM(U62:U77)+U57</f>
        <v>204.30496805752836</v>
      </c>
      <c r="V78" s="118">
        <f>-SUM(V62:V77)+V57</f>
        <v>80.164055105281477</v>
      </c>
      <c r="W78" s="35"/>
      <c r="X78" s="57">
        <f>SUM(X62:X77)</f>
        <v>2009</v>
      </c>
      <c r="Y78" s="57">
        <f>SUM(Y62:Y77)</f>
        <v>119.774</v>
      </c>
    </row>
    <row r="79" spans="1:25" ht="14.25" thickTop="1" thickBot="1" x14ac:dyDescent="0.25">
      <c r="D79" s="50"/>
      <c r="E79" s="14"/>
      <c r="F79" s="14"/>
      <c r="G79" s="14"/>
      <c r="H79" s="14"/>
      <c r="I79" s="14"/>
      <c r="J79" s="14"/>
      <c r="K79" s="14"/>
      <c r="L79" s="14"/>
      <c r="M79" s="14"/>
      <c r="N79" s="14"/>
      <c r="O79" s="14"/>
      <c r="P79" s="14"/>
      <c r="Q79" s="14"/>
      <c r="R79" s="14"/>
      <c r="S79" s="14"/>
      <c r="T79" s="14"/>
      <c r="U79" s="14"/>
      <c r="V79" s="14"/>
      <c r="W79" s="4"/>
    </row>
    <row r="80" spans="1:25" s="16" customFormat="1" ht="13.5" thickBot="1" x14ac:dyDescent="0.25">
      <c r="A80" s="115" t="s">
        <v>52</v>
      </c>
      <c r="B80" s="116" t="s">
        <v>23</v>
      </c>
      <c r="C80" s="116"/>
      <c r="D80" s="119">
        <f>+D78</f>
        <v>84.175900000000013</v>
      </c>
      <c r="E80" s="120">
        <f>+D80+E78</f>
        <v>366.20684240000003</v>
      </c>
      <c r="F80" s="120">
        <f t="shared" ref="F80:R80" si="22">+E80+F78</f>
        <v>405.12933860800001</v>
      </c>
      <c r="G80" s="120">
        <f t="shared" si="22"/>
        <v>439.88654553378399</v>
      </c>
      <c r="H80" s="120">
        <f t="shared" si="22"/>
        <v>471.76798355320852</v>
      </c>
      <c r="I80" s="120">
        <f t="shared" si="22"/>
        <v>179.95918139682323</v>
      </c>
      <c r="J80" s="120">
        <f t="shared" si="22"/>
        <v>230.9276790556537</v>
      </c>
      <c r="K80" s="120">
        <f t="shared" si="22"/>
        <v>150.87585159539577</v>
      </c>
      <c r="L80" s="121">
        <f t="shared" si="22"/>
        <v>74.980715489182487</v>
      </c>
      <c r="M80" s="120">
        <f t="shared" si="22"/>
        <v>273.70803014428895</v>
      </c>
      <c r="N80" s="121">
        <f t="shared" si="22"/>
        <v>69.538874076986161</v>
      </c>
      <c r="O80" s="120">
        <f t="shared" si="22"/>
        <v>119.06143139706884</v>
      </c>
      <c r="P80" s="120">
        <f t="shared" si="22"/>
        <v>17.501197063911121</v>
      </c>
      <c r="Q80" s="120">
        <f t="shared" si="22"/>
        <v>88.434259731280235</v>
      </c>
      <c r="R80" s="121">
        <f t="shared" si="22"/>
        <v>-19.479728579777174</v>
      </c>
      <c r="S80" s="140">
        <f>+R80+S78</f>
        <v>43.000554201630734</v>
      </c>
      <c r="T80" s="140">
        <f>+S80+T78</f>
        <v>325.81424873937374</v>
      </c>
      <c r="U80" s="140">
        <f>+T80+U78</f>
        <v>530.11921679690204</v>
      </c>
      <c r="V80" s="140">
        <f>+U80+V78</f>
        <v>610.28327190218351</v>
      </c>
      <c r="W80" s="35"/>
      <c r="X80" s="37"/>
      <c r="Y80" s="18"/>
    </row>
    <row r="81" spans="1:25" s="16" customFormat="1" x14ac:dyDescent="0.2">
      <c r="A81" s="17"/>
      <c r="D81" s="105"/>
      <c r="E81" s="36"/>
      <c r="F81" s="36"/>
      <c r="G81" s="36"/>
      <c r="H81" s="36"/>
      <c r="I81" s="36"/>
      <c r="J81" s="36"/>
      <c r="K81" s="36"/>
      <c r="L81" s="105"/>
      <c r="M81" s="36"/>
      <c r="N81" s="105"/>
      <c r="O81" s="36"/>
      <c r="P81" s="36"/>
      <c r="Q81" s="36"/>
      <c r="R81" s="36"/>
      <c r="S81" s="36"/>
      <c r="T81" s="36"/>
      <c r="U81" s="36"/>
      <c r="V81" s="36"/>
      <c r="W81" s="35"/>
      <c r="X81" s="37"/>
      <c r="Y81" s="18"/>
    </row>
    <row r="82" spans="1:25" s="16" customFormat="1" x14ac:dyDescent="0.2">
      <c r="A82" s="17"/>
      <c r="B82" s="123" t="s">
        <v>104</v>
      </c>
      <c r="C82" s="124"/>
      <c r="D82" s="125"/>
      <c r="E82" s="125">
        <f>+((+G91+G92)/4)</f>
        <v>5.5473750000000006</v>
      </c>
      <c r="F82" s="125"/>
      <c r="G82" s="125"/>
      <c r="H82" s="125"/>
      <c r="I82" s="125"/>
      <c r="J82" s="125"/>
      <c r="K82" s="125"/>
      <c r="L82" s="125"/>
      <c r="M82" s="125"/>
      <c r="N82" s="125"/>
      <c r="O82" s="125"/>
      <c r="P82" s="125"/>
      <c r="Q82" s="125"/>
      <c r="R82" s="126"/>
      <c r="S82" s="141"/>
      <c r="T82" s="141"/>
      <c r="U82" s="141"/>
      <c r="V82" s="141"/>
      <c r="W82" s="35"/>
      <c r="X82" s="37"/>
      <c r="Y82" s="18"/>
    </row>
    <row r="83" spans="1:25" s="16" customFormat="1" x14ac:dyDescent="0.2">
      <c r="A83" s="17"/>
      <c r="D83" s="105"/>
      <c r="E83" s="36"/>
      <c r="F83" s="36"/>
      <c r="G83" s="36"/>
      <c r="H83" s="36"/>
      <c r="I83" s="36"/>
      <c r="J83" s="36"/>
      <c r="K83" s="36"/>
      <c r="L83" s="105"/>
      <c r="M83" s="36"/>
      <c r="N83" s="105"/>
      <c r="O83" s="36"/>
      <c r="P83" s="36"/>
      <c r="Q83" s="36"/>
      <c r="R83" s="36"/>
      <c r="S83" s="36"/>
      <c r="T83" s="36"/>
      <c r="U83" s="36"/>
      <c r="V83" s="36"/>
      <c r="W83" s="35"/>
      <c r="X83" s="37"/>
      <c r="Y83" s="18"/>
    </row>
    <row r="84" spans="1:25" x14ac:dyDescent="0.2">
      <c r="B84" s="55" t="s">
        <v>50</v>
      </c>
    </row>
    <row r="85" spans="1:25" x14ac:dyDescent="0.2">
      <c r="B85" s="55"/>
      <c r="U85" t="s">
        <v>95</v>
      </c>
    </row>
    <row r="86" spans="1:25" x14ac:dyDescent="0.2">
      <c r="B86" s="55"/>
      <c r="U86" t="s">
        <v>96</v>
      </c>
      <c r="W86" t="s">
        <v>97</v>
      </c>
      <c r="X86" s="10">
        <v>-84</v>
      </c>
    </row>
    <row r="87" spans="1:25" x14ac:dyDescent="0.2">
      <c r="B87" s="55"/>
      <c r="D87" s="89"/>
      <c r="E87" s="90" t="s">
        <v>66</v>
      </c>
      <c r="F87" s="91"/>
      <c r="G87" s="92"/>
      <c r="W87" t="s">
        <v>98</v>
      </c>
      <c r="X87" s="10">
        <v>-239</v>
      </c>
    </row>
    <row r="88" spans="1:25" x14ac:dyDescent="0.2">
      <c r="B88" s="55"/>
      <c r="D88" s="62" t="s">
        <v>24</v>
      </c>
      <c r="E88" s="88" t="s">
        <v>94</v>
      </c>
      <c r="F88" s="63" t="s">
        <v>93</v>
      </c>
      <c r="G88" s="63" t="s">
        <v>19</v>
      </c>
      <c r="U88" t="s">
        <v>100</v>
      </c>
      <c r="X88" s="10">
        <v>-184</v>
      </c>
    </row>
    <row r="89" spans="1:25" ht="13.5" thickBot="1" x14ac:dyDescent="0.25">
      <c r="B89" s="55"/>
      <c r="C89" s="6" t="s">
        <v>15</v>
      </c>
      <c r="D89" s="6">
        <v>1</v>
      </c>
      <c r="E89" s="14">
        <v>251.1</v>
      </c>
      <c r="F89" s="5">
        <v>10.045871999999999</v>
      </c>
      <c r="G89" s="5">
        <f>10*25*0.0425</f>
        <v>10.625</v>
      </c>
      <c r="U89" t="s">
        <v>99</v>
      </c>
      <c r="X89" s="93">
        <f>SUM(X78:X88)</f>
        <v>1502</v>
      </c>
    </row>
    <row r="90" spans="1:25" ht="13.5" thickTop="1" x14ac:dyDescent="0.2">
      <c r="B90" s="55"/>
      <c r="C90" s="6" t="s">
        <v>40</v>
      </c>
      <c r="D90" s="6">
        <v>2</v>
      </c>
      <c r="E90" s="14">
        <v>151.6</v>
      </c>
      <c r="F90" s="5">
        <v>6.0621280000000004</v>
      </c>
      <c r="G90" s="5">
        <f>6*1.25</f>
        <v>7.5</v>
      </c>
    </row>
    <row r="91" spans="1:25" ht="13.5" thickBot="1" x14ac:dyDescent="0.25">
      <c r="B91" s="55"/>
      <c r="C91" s="6" t="s">
        <v>41</v>
      </c>
      <c r="D91" s="6">
        <v>3</v>
      </c>
      <c r="E91" s="14">
        <f>203</f>
        <v>203</v>
      </c>
      <c r="F91" s="5">
        <v>8.1209000000000007</v>
      </c>
      <c r="G91" s="5">
        <f>203*0.0675</f>
        <v>13.702500000000001</v>
      </c>
    </row>
    <row r="92" spans="1:25" ht="18.75" thickBot="1" x14ac:dyDescent="0.3">
      <c r="C92" s="6" t="s">
        <v>42</v>
      </c>
      <c r="D92" s="6">
        <v>5</v>
      </c>
      <c r="E92" s="14">
        <f>123</f>
        <v>123</v>
      </c>
      <c r="F92" s="5">
        <v>4.9199200000000003</v>
      </c>
      <c r="G92" s="5">
        <f>123*0.069</f>
        <v>8.4870000000000001</v>
      </c>
      <c r="S92" s="19" t="s">
        <v>68</v>
      </c>
      <c r="T92" s="102" t="s">
        <v>58</v>
      </c>
      <c r="U92" t="s">
        <v>57</v>
      </c>
      <c r="V92" s="14">
        <f>(+$E$23+$F$23)*2*0+147.2*4</f>
        <v>588.79999999999995</v>
      </c>
      <c r="W92" s="17" t="s">
        <v>67</v>
      </c>
      <c r="X92" s="71">
        <f>+X89/+(V92)</f>
        <v>2.550951086956522</v>
      </c>
    </row>
    <row r="93" spans="1:25" x14ac:dyDescent="0.2">
      <c r="D93" s="6">
        <v>7</v>
      </c>
      <c r="E93" s="14">
        <v>2.9</v>
      </c>
      <c r="F93" s="5">
        <v>0.38333299999999998</v>
      </c>
      <c r="G93" s="5">
        <f>3*0.05</f>
        <v>0.15000000000000002</v>
      </c>
      <c r="S93" s="1"/>
      <c r="T93" s="1"/>
      <c r="X93" s="56"/>
    </row>
    <row r="94" spans="1:25" ht="13.5" thickBot="1" x14ac:dyDescent="0.25">
      <c r="E94" s="14"/>
      <c r="X94" s="1" t="s">
        <v>62</v>
      </c>
      <c r="Y94" s="58">
        <f>+Y78*0.5</f>
        <v>59.887</v>
      </c>
    </row>
    <row r="95" spans="1:25" ht="18.75" thickBot="1" x14ac:dyDescent="0.3">
      <c r="D95" s="16" t="s">
        <v>37</v>
      </c>
      <c r="E95" s="34">
        <f>SUM(E89:E94)</f>
        <v>731.6</v>
      </c>
      <c r="F95" s="59">
        <f>SUM(F89:F94)</f>
        <v>29.532153000000005</v>
      </c>
      <c r="G95" s="59">
        <f>SUM(G89:G94)</f>
        <v>40.464500000000001</v>
      </c>
      <c r="S95" s="19" t="s">
        <v>59</v>
      </c>
      <c r="T95" s="102" t="s">
        <v>58</v>
      </c>
      <c r="U95" t="s">
        <v>57</v>
      </c>
      <c r="V95" s="14">
        <f>(+$E$23+$F$23)</f>
        <v>281.73293860800004</v>
      </c>
      <c r="X95" s="24" t="s">
        <v>60</v>
      </c>
      <c r="Y95" s="69">
        <f>+V95/Y94</f>
        <v>4.7044089469834862</v>
      </c>
    </row>
    <row r="96" spans="1:25" ht="13.5" thickTop="1" x14ac:dyDescent="0.2"/>
    <row r="97" spans="2:12" x14ac:dyDescent="0.2">
      <c r="B97" s="86"/>
    </row>
    <row r="102" spans="2:12" x14ac:dyDescent="0.2">
      <c r="L102" s="85"/>
    </row>
  </sheetData>
  <phoneticPr fontId="7" type="noConversion"/>
  <printOptions horizontalCentered="1" verticalCentered="1"/>
  <pageMargins left="0.19685039370078741" right="0.19685039370078741" top="0.39370078740157483" bottom="0.39370078740157483" header="0.19685039370078741" footer="0.19685039370078741"/>
  <pageSetup paperSize="9" scale="66" fitToHeight="2" orientation="landscape" horizontalDpi="0" verticalDpi="0" r:id="rId1"/>
  <headerFooter alignWithMargins="0"/>
  <ignoredErrors>
    <ignoredError sqref="X69:X76" formulaRange="1"/>
    <ignoredError sqref="Q50:Q51 Q32 Q44:Q47 Q12 Q17" formula="1"/>
  </ignoredErrors>
  <legacy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0"/>
  <dimension ref="A1:D37"/>
  <sheetViews>
    <sheetView zoomScale="150" workbookViewId="0">
      <selection activeCell="D23" sqref="D23"/>
    </sheetView>
  </sheetViews>
  <sheetFormatPr defaultRowHeight="12.75" x14ac:dyDescent="0.2"/>
  <cols>
    <col min="2" max="2" width="9.28515625" bestFit="1" customWidth="1"/>
    <col min="4" max="4" width="124.7109375" customWidth="1"/>
  </cols>
  <sheetData>
    <row r="1" spans="1:4" ht="25.5" x14ac:dyDescent="0.35">
      <c r="C1" s="87" t="s">
        <v>82</v>
      </c>
    </row>
    <row r="3" spans="1:4" ht="18" x14ac:dyDescent="0.25">
      <c r="A3" s="254" t="s">
        <v>113</v>
      </c>
    </row>
    <row r="4" spans="1:4" ht="24.75" customHeight="1" x14ac:dyDescent="0.25">
      <c r="A4" s="255" t="s">
        <v>139</v>
      </c>
      <c r="D4" s="84" t="s">
        <v>140</v>
      </c>
    </row>
    <row r="5" spans="1:4" ht="15.75" x14ac:dyDescent="0.25">
      <c r="A5" s="255"/>
    </row>
    <row r="6" spans="1:4" ht="15.75" x14ac:dyDescent="0.25">
      <c r="A6" s="255" t="s">
        <v>141</v>
      </c>
      <c r="D6" s="84" t="s">
        <v>142</v>
      </c>
    </row>
    <row r="7" spans="1:4" ht="15.75" x14ac:dyDescent="0.25">
      <c r="A7" s="255"/>
    </row>
    <row r="8" spans="1:4" ht="15.75" x14ac:dyDescent="0.25">
      <c r="A8" s="255" t="s">
        <v>143</v>
      </c>
      <c r="D8" s="84" t="s">
        <v>144</v>
      </c>
    </row>
    <row r="9" spans="1:4" x14ac:dyDescent="0.2">
      <c r="D9" s="84"/>
    </row>
    <row r="10" spans="1:4" x14ac:dyDescent="0.2">
      <c r="D10" s="84"/>
    </row>
    <row r="12" spans="1:4" x14ac:dyDescent="0.2">
      <c r="A12" t="s">
        <v>120</v>
      </c>
      <c r="D12" s="84" t="s">
        <v>121</v>
      </c>
    </row>
    <row r="15" spans="1:4" x14ac:dyDescent="0.2">
      <c r="A15" t="s">
        <v>85</v>
      </c>
      <c r="D15" s="84" t="s">
        <v>84</v>
      </c>
    </row>
    <row r="16" spans="1:4" x14ac:dyDescent="0.2">
      <c r="D16" s="84"/>
    </row>
    <row r="17" spans="1:4" x14ac:dyDescent="0.2">
      <c r="A17" t="s">
        <v>91</v>
      </c>
      <c r="D17" s="84" t="s">
        <v>92</v>
      </c>
    </row>
    <row r="18" spans="1:4" x14ac:dyDescent="0.2">
      <c r="D18" s="84"/>
    </row>
    <row r="20" spans="1:4" x14ac:dyDescent="0.2">
      <c r="A20" t="s">
        <v>83</v>
      </c>
      <c r="D20" s="84" t="s">
        <v>86</v>
      </c>
    </row>
    <row r="28" spans="1:4" ht="15.75" x14ac:dyDescent="0.25">
      <c r="D28" s="233"/>
    </row>
    <row r="29" spans="1:4" ht="15.75" x14ac:dyDescent="0.25">
      <c r="D29" s="233"/>
    </row>
    <row r="30" spans="1:4" ht="15.75" x14ac:dyDescent="0.25">
      <c r="D30" s="233"/>
    </row>
    <row r="31" spans="1:4" ht="15.75" x14ac:dyDescent="0.25">
      <c r="D31" s="233"/>
    </row>
    <row r="35" spans="4:4" ht="15.75" x14ac:dyDescent="0.25">
      <c r="D35" s="233"/>
    </row>
    <row r="36" spans="4:4" ht="15.75" x14ac:dyDescent="0.25">
      <c r="D36" s="233"/>
    </row>
    <row r="37" spans="4:4" ht="15.75" x14ac:dyDescent="0.25">
      <c r="D37" s="233"/>
    </row>
  </sheetData>
  <phoneticPr fontId="7" type="noConversion"/>
  <hyperlinks>
    <hyperlink ref="D15" r:id="rId1"/>
    <hyperlink ref="D20" r:id="rId2"/>
    <hyperlink ref="D12" r:id="rId3"/>
  </hyperlinks>
  <pageMargins left="0.75" right="0.75" top="1" bottom="1" header="0.5" footer="0.5"/>
  <pageSetup paperSize="9" orientation="portrait" horizontalDpi="0" verticalDpi="0" r:id="rId4"/>
  <headerFooter alignWithMargins="0"/>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11"/>
  <dimension ref="A1:U69"/>
  <sheetViews>
    <sheetView workbookViewId="0">
      <selection activeCell="G38" sqref="G38"/>
    </sheetView>
  </sheetViews>
  <sheetFormatPr defaultRowHeight="12.75" x14ac:dyDescent="0.2"/>
  <cols>
    <col min="1" max="1" width="4.5703125" style="6" customWidth="1"/>
    <col min="2" max="2" width="21.42578125" customWidth="1"/>
    <col min="3" max="3" width="10" customWidth="1"/>
    <col min="5" max="16" width="10.85546875" customWidth="1"/>
    <col min="19" max="19" width="8.28515625" customWidth="1"/>
    <col min="20" max="20" width="8" style="10" customWidth="1"/>
    <col min="21" max="21" width="9.140625" style="5" customWidth="1"/>
  </cols>
  <sheetData>
    <row r="1" spans="1:21" ht="30" x14ac:dyDescent="0.4">
      <c r="B1" t="s">
        <v>72</v>
      </c>
      <c r="G1" s="64"/>
      <c r="H1" s="65" t="s">
        <v>38</v>
      </c>
      <c r="I1" s="64"/>
    </row>
    <row r="3" spans="1:21" s="16" customFormat="1" x14ac:dyDescent="0.2">
      <c r="A3" s="17"/>
      <c r="D3" s="17" t="s">
        <v>56</v>
      </c>
      <c r="E3" s="67" t="s">
        <v>63</v>
      </c>
      <c r="F3" s="66" t="s">
        <v>64</v>
      </c>
      <c r="T3" s="24"/>
      <c r="U3" s="23"/>
    </row>
    <row r="4" spans="1:21" s="19" customFormat="1" x14ac:dyDescent="0.2">
      <c r="A4" s="17"/>
      <c r="C4" s="19" t="s">
        <v>36</v>
      </c>
      <c r="D4" s="43" t="s">
        <v>20</v>
      </c>
      <c r="E4" s="20" t="s">
        <v>1</v>
      </c>
      <c r="F4" s="20" t="s">
        <v>2</v>
      </c>
      <c r="G4" s="20" t="s">
        <v>3</v>
      </c>
      <c r="H4" s="20" t="s">
        <v>4</v>
      </c>
      <c r="I4" s="21" t="s">
        <v>5</v>
      </c>
      <c r="J4" s="21" t="s">
        <v>6</v>
      </c>
      <c r="K4" s="21" t="s">
        <v>7</v>
      </c>
      <c r="L4" s="21" t="s">
        <v>8</v>
      </c>
      <c r="M4" s="22" t="s">
        <v>9</v>
      </c>
      <c r="N4" s="22" t="s">
        <v>10</v>
      </c>
      <c r="O4" s="22" t="s">
        <v>11</v>
      </c>
      <c r="P4" s="22" t="s">
        <v>12</v>
      </c>
      <c r="Q4" s="19">
        <v>2015</v>
      </c>
      <c r="R4" s="19">
        <v>2016</v>
      </c>
      <c r="S4" s="17" t="s">
        <v>46</v>
      </c>
      <c r="T4" s="24"/>
      <c r="U4" s="23"/>
    </row>
    <row r="5" spans="1:21" s="2" customFormat="1" x14ac:dyDescent="0.2">
      <c r="A5" s="31"/>
      <c r="B5" s="53" t="s">
        <v>57</v>
      </c>
      <c r="C5" s="3"/>
      <c r="D5" s="44"/>
      <c r="T5" s="9"/>
      <c r="U5" s="11"/>
    </row>
    <row r="6" spans="1:21" s="26" customFormat="1" ht="13.5" thickBot="1" x14ac:dyDescent="0.25">
      <c r="A6" s="32" t="s">
        <v>15</v>
      </c>
      <c r="B6" s="25" t="s">
        <v>16</v>
      </c>
      <c r="C6" s="25"/>
      <c r="D6" s="45">
        <v>155</v>
      </c>
      <c r="E6" s="30">
        <v>150</v>
      </c>
      <c r="F6" s="30">
        <f>+E6</f>
        <v>150</v>
      </c>
      <c r="G6" s="30">
        <f t="shared" ref="G6:P6" si="0">+F6</f>
        <v>150</v>
      </c>
      <c r="H6" s="30">
        <f t="shared" si="0"/>
        <v>150</v>
      </c>
      <c r="I6" s="30">
        <f t="shared" si="0"/>
        <v>150</v>
      </c>
      <c r="J6" s="30">
        <f t="shared" si="0"/>
        <v>150</v>
      </c>
      <c r="K6" s="30">
        <f t="shared" si="0"/>
        <v>150</v>
      </c>
      <c r="L6" s="30">
        <f t="shared" si="0"/>
        <v>150</v>
      </c>
      <c r="M6" s="30">
        <f t="shared" si="0"/>
        <v>150</v>
      </c>
      <c r="N6" s="30">
        <f t="shared" si="0"/>
        <v>150</v>
      </c>
      <c r="O6" s="30">
        <f t="shared" si="0"/>
        <v>150</v>
      </c>
      <c r="P6" s="30">
        <f t="shared" si="0"/>
        <v>150</v>
      </c>
      <c r="Q6" s="30">
        <f>+P6*4</f>
        <v>600</v>
      </c>
      <c r="R6" s="30">
        <f>+Q6</f>
        <v>600</v>
      </c>
      <c r="T6" s="28"/>
      <c r="U6" s="29"/>
    </row>
    <row r="7" spans="1:21" s="26" customFormat="1" ht="13.5" thickTop="1" x14ac:dyDescent="0.2">
      <c r="A7" s="32"/>
      <c r="B7" s="25"/>
      <c r="C7" s="25"/>
      <c r="D7" s="46"/>
      <c r="E7" s="38"/>
      <c r="F7" s="38"/>
      <c r="G7" s="38"/>
      <c r="H7" s="38"/>
      <c r="I7" s="38"/>
      <c r="J7" s="38"/>
      <c r="K7" s="38"/>
      <c r="L7" s="38"/>
      <c r="M7" s="38"/>
      <c r="N7" s="38"/>
      <c r="O7" s="38"/>
      <c r="P7" s="38"/>
      <c r="Q7" s="38"/>
      <c r="R7" s="38"/>
      <c r="T7" s="28"/>
      <c r="U7" s="29"/>
    </row>
    <row r="8" spans="1:21" s="2" customFormat="1" x14ac:dyDescent="0.2">
      <c r="A8" s="31"/>
      <c r="B8" s="53" t="s">
        <v>47</v>
      </c>
      <c r="D8" s="47"/>
      <c r="E8" s="12"/>
      <c r="F8" s="12"/>
      <c r="G8" s="12"/>
      <c r="H8" s="12"/>
      <c r="I8" s="12"/>
      <c r="J8" s="12"/>
      <c r="K8" s="12"/>
      <c r="L8" s="12"/>
      <c r="M8" s="12"/>
      <c r="N8" s="12"/>
      <c r="O8" s="12"/>
      <c r="P8" s="12"/>
      <c r="Q8" s="12"/>
      <c r="R8" s="12"/>
      <c r="T8" s="9"/>
      <c r="U8" s="11"/>
    </row>
    <row r="9" spans="1:21" s="2" customFormat="1" x14ac:dyDescent="0.2">
      <c r="A9" s="31"/>
      <c r="B9" s="25" t="s">
        <v>17</v>
      </c>
      <c r="D9" s="47"/>
      <c r="E9" s="12"/>
      <c r="F9" s="12"/>
      <c r="G9" s="12"/>
      <c r="H9" s="12"/>
      <c r="I9" s="12"/>
      <c r="J9" s="12"/>
      <c r="K9" s="12"/>
      <c r="L9" s="12"/>
      <c r="M9" s="12"/>
      <c r="N9" s="12"/>
      <c r="O9" s="12"/>
      <c r="P9" s="12"/>
      <c r="Q9" s="12"/>
      <c r="R9" s="12"/>
      <c r="T9" s="9"/>
      <c r="U9" s="11"/>
    </row>
    <row r="10" spans="1:21" s="2" customFormat="1" x14ac:dyDescent="0.2">
      <c r="A10" s="31"/>
      <c r="B10" s="1" t="s">
        <v>0</v>
      </c>
      <c r="D10" s="47">
        <f>266*0.05/4</f>
        <v>3.3250000000000002</v>
      </c>
      <c r="E10" s="12">
        <v>2.0699999999999998</v>
      </c>
      <c r="F10" s="12">
        <v>1.7825</v>
      </c>
      <c r="G10" s="12">
        <v>1.4950000000000001</v>
      </c>
      <c r="H10" s="12">
        <v>1.2075</v>
      </c>
      <c r="I10" s="12">
        <v>0.92</v>
      </c>
      <c r="J10" s="12"/>
      <c r="K10" s="12"/>
      <c r="L10" s="12"/>
      <c r="M10" s="12"/>
      <c r="N10" s="12"/>
      <c r="O10" s="12"/>
      <c r="P10" s="12"/>
      <c r="Q10" s="12"/>
      <c r="R10" s="12"/>
      <c r="T10" s="9"/>
      <c r="U10" s="11"/>
    </row>
    <row r="11" spans="1:21" s="2" customFormat="1" x14ac:dyDescent="0.2">
      <c r="A11" s="31"/>
      <c r="B11" s="1" t="s">
        <v>25</v>
      </c>
      <c r="C11" s="68" t="s">
        <v>65</v>
      </c>
      <c r="D11" s="47"/>
      <c r="E11" s="12"/>
      <c r="F11" s="12"/>
      <c r="G11" s="12"/>
      <c r="H11" s="12"/>
      <c r="I11" s="12"/>
      <c r="J11" s="12"/>
      <c r="K11" s="12"/>
      <c r="L11" s="12"/>
      <c r="M11" s="12"/>
      <c r="N11" s="12"/>
      <c r="O11" s="12"/>
      <c r="P11" s="12"/>
      <c r="Q11" s="12"/>
      <c r="R11" s="12"/>
      <c r="T11" s="9"/>
      <c r="U11" s="11"/>
    </row>
    <row r="12" spans="1:21" s="2" customFormat="1" x14ac:dyDescent="0.2">
      <c r="A12" s="31"/>
      <c r="B12" s="1" t="s">
        <v>34</v>
      </c>
      <c r="D12" s="47">
        <f t="shared" ref="D12:P12" si="1">+$U39/4</f>
        <v>2.875</v>
      </c>
      <c r="E12" s="12">
        <f t="shared" si="1"/>
        <v>2.875</v>
      </c>
      <c r="F12" s="12">
        <f t="shared" si="1"/>
        <v>2.875</v>
      </c>
      <c r="G12" s="12">
        <f t="shared" si="1"/>
        <v>2.875</v>
      </c>
      <c r="H12" s="12">
        <f t="shared" si="1"/>
        <v>2.875</v>
      </c>
      <c r="I12" s="12">
        <f t="shared" si="1"/>
        <v>2.875</v>
      </c>
      <c r="J12" s="12">
        <f t="shared" si="1"/>
        <v>2.875</v>
      </c>
      <c r="K12" s="12">
        <f t="shared" si="1"/>
        <v>2.875</v>
      </c>
      <c r="L12" s="12">
        <f t="shared" si="1"/>
        <v>2.875</v>
      </c>
      <c r="M12" s="12">
        <f t="shared" si="1"/>
        <v>2.875</v>
      </c>
      <c r="N12" s="12">
        <f t="shared" si="1"/>
        <v>2.875</v>
      </c>
      <c r="O12" s="12">
        <f t="shared" si="1"/>
        <v>2.875</v>
      </c>
      <c r="P12" s="12">
        <f t="shared" si="1"/>
        <v>2.875</v>
      </c>
      <c r="Q12" s="12">
        <f>+P12*4</f>
        <v>11.5</v>
      </c>
      <c r="R12" s="12">
        <f>+Q12</f>
        <v>11.5</v>
      </c>
      <c r="T12" s="9"/>
      <c r="U12" s="11"/>
    </row>
    <row r="13" spans="1:21" s="2" customFormat="1" x14ac:dyDescent="0.2">
      <c r="A13" s="31"/>
      <c r="B13" s="1" t="s">
        <v>14</v>
      </c>
      <c r="D13" s="47"/>
      <c r="E13" s="12"/>
      <c r="F13" s="12"/>
      <c r="G13" s="12"/>
      <c r="H13" s="12"/>
      <c r="I13" s="12"/>
      <c r="J13" s="12"/>
      <c r="K13" s="12"/>
      <c r="L13" s="12"/>
      <c r="M13" s="12"/>
      <c r="N13" s="12"/>
      <c r="O13" s="12"/>
      <c r="P13" s="12"/>
      <c r="Q13" s="12"/>
      <c r="R13" s="12"/>
      <c r="T13" s="9"/>
      <c r="U13" s="11"/>
    </row>
    <row r="14" spans="1:21" s="2" customFormat="1" x14ac:dyDescent="0.2">
      <c r="A14" s="31"/>
      <c r="B14" s="7" t="s">
        <v>27</v>
      </c>
      <c r="D14" s="47">
        <f t="shared" ref="D14:P21" si="2">+$U41/4</f>
        <v>2.1125000000000003</v>
      </c>
      <c r="E14" s="12">
        <f t="shared" si="2"/>
        <v>2.1125000000000003</v>
      </c>
      <c r="F14" s="12">
        <f t="shared" si="2"/>
        <v>2.1125000000000003</v>
      </c>
      <c r="G14" s="12">
        <f t="shared" si="2"/>
        <v>2.1125000000000003</v>
      </c>
      <c r="H14" s="12">
        <f t="shared" si="2"/>
        <v>2.1125000000000003</v>
      </c>
      <c r="I14" s="12">
        <f t="shared" si="2"/>
        <v>2.1125000000000003</v>
      </c>
      <c r="J14" s="12">
        <f t="shared" si="2"/>
        <v>2.1125000000000003</v>
      </c>
      <c r="K14" s="12"/>
      <c r="L14" s="12"/>
      <c r="M14" s="12"/>
      <c r="N14" s="12"/>
      <c r="O14" s="12"/>
      <c r="P14" s="12"/>
      <c r="Q14" s="12"/>
      <c r="R14" s="12"/>
      <c r="T14" s="9"/>
      <c r="U14" s="11"/>
    </row>
    <row r="15" spans="1:21" s="2" customFormat="1" x14ac:dyDescent="0.2">
      <c r="A15" s="31"/>
      <c r="B15" s="1" t="s">
        <v>26</v>
      </c>
      <c r="D15" s="47">
        <f t="shared" si="2"/>
        <v>2.140625</v>
      </c>
      <c r="E15" s="12">
        <f t="shared" si="2"/>
        <v>2.140625</v>
      </c>
      <c r="F15" s="12">
        <f t="shared" si="2"/>
        <v>2.140625</v>
      </c>
      <c r="G15" s="12">
        <f t="shared" si="2"/>
        <v>2.140625</v>
      </c>
      <c r="H15" s="12">
        <f t="shared" si="2"/>
        <v>2.140625</v>
      </c>
      <c r="I15" s="12">
        <f t="shared" si="2"/>
        <v>2.140625</v>
      </c>
      <c r="J15" s="12">
        <f t="shared" si="2"/>
        <v>2.140625</v>
      </c>
      <c r="K15" s="12">
        <f t="shared" si="2"/>
        <v>2.140625</v>
      </c>
      <c r="L15" s="12">
        <f t="shared" si="2"/>
        <v>2.140625</v>
      </c>
      <c r="M15" s="12"/>
      <c r="N15" s="12"/>
      <c r="O15" s="12"/>
      <c r="P15" s="12"/>
      <c r="Q15" s="12"/>
      <c r="R15" s="12"/>
      <c r="T15" s="9"/>
      <c r="U15" s="11"/>
    </row>
    <row r="16" spans="1:21" s="2" customFormat="1" x14ac:dyDescent="0.2">
      <c r="A16" s="31"/>
      <c r="B16" s="1" t="s">
        <v>28</v>
      </c>
      <c r="D16" s="47">
        <f t="shared" si="2"/>
        <v>3.6401249999999998</v>
      </c>
      <c r="E16" s="12">
        <f t="shared" si="2"/>
        <v>3.6401249999999998</v>
      </c>
      <c r="F16" s="12">
        <f t="shared" si="2"/>
        <v>3.6401249999999998</v>
      </c>
      <c r="G16" s="12">
        <f t="shared" si="2"/>
        <v>3.6401249999999998</v>
      </c>
      <c r="H16" s="12">
        <f t="shared" si="2"/>
        <v>3.6401249999999998</v>
      </c>
      <c r="I16" s="12">
        <f t="shared" si="2"/>
        <v>3.6401249999999998</v>
      </c>
      <c r="J16" s="12">
        <f t="shared" si="2"/>
        <v>3.6401249999999998</v>
      </c>
      <c r="K16" s="12">
        <f t="shared" si="2"/>
        <v>3.6401249999999998</v>
      </c>
      <c r="L16" s="12">
        <f t="shared" si="2"/>
        <v>3.6401249999999998</v>
      </c>
      <c r="M16" s="12">
        <f t="shared" si="2"/>
        <v>3.6401249999999998</v>
      </c>
      <c r="N16" s="12"/>
      <c r="O16" s="12"/>
      <c r="P16" s="12"/>
      <c r="Q16" s="12"/>
      <c r="R16" s="12"/>
      <c r="T16" s="9"/>
      <c r="U16" s="11"/>
    </row>
    <row r="17" spans="1:21" s="2" customFormat="1" x14ac:dyDescent="0.2">
      <c r="A17" s="31"/>
      <c r="B17" s="1" t="s">
        <v>29</v>
      </c>
      <c r="D17" s="47">
        <f t="shared" si="2"/>
        <v>2.5185</v>
      </c>
      <c r="E17" s="12">
        <f t="shared" si="2"/>
        <v>2.5185</v>
      </c>
      <c r="F17" s="12">
        <f t="shared" si="2"/>
        <v>2.5185</v>
      </c>
      <c r="G17" s="12">
        <f t="shared" si="2"/>
        <v>2.5185</v>
      </c>
      <c r="H17" s="12">
        <f t="shared" si="2"/>
        <v>2.5185</v>
      </c>
      <c r="I17" s="12">
        <f t="shared" si="2"/>
        <v>2.5185</v>
      </c>
      <c r="J17" s="12">
        <f t="shared" si="2"/>
        <v>2.5185</v>
      </c>
      <c r="K17" s="12">
        <f t="shared" si="2"/>
        <v>2.5185</v>
      </c>
      <c r="L17" s="12">
        <f t="shared" si="2"/>
        <v>2.5185</v>
      </c>
      <c r="M17" s="12">
        <f t="shared" si="2"/>
        <v>2.5185</v>
      </c>
      <c r="N17" s="12">
        <f t="shared" si="2"/>
        <v>2.5185</v>
      </c>
      <c r="O17" s="12">
        <f t="shared" si="2"/>
        <v>2.5185</v>
      </c>
      <c r="P17" s="12">
        <f t="shared" si="2"/>
        <v>2.5185</v>
      </c>
      <c r="Q17" s="12">
        <v>1.5</v>
      </c>
      <c r="R17" s="12"/>
      <c r="T17" s="9"/>
      <c r="U17" s="11"/>
    </row>
    <row r="18" spans="1:21" s="2" customFormat="1" x14ac:dyDescent="0.2">
      <c r="A18" s="31"/>
      <c r="B18" s="1" t="s">
        <v>30</v>
      </c>
      <c r="D18" s="47">
        <f t="shared" si="2"/>
        <v>4.2</v>
      </c>
      <c r="E18" s="12">
        <f t="shared" si="2"/>
        <v>4.2</v>
      </c>
      <c r="F18" s="12">
        <f t="shared" si="2"/>
        <v>4.2</v>
      </c>
      <c r="G18" s="12">
        <f t="shared" si="2"/>
        <v>4.2</v>
      </c>
      <c r="H18" s="12">
        <f t="shared" si="2"/>
        <v>4.2</v>
      </c>
      <c r="I18" s="12">
        <f t="shared" si="2"/>
        <v>4.2</v>
      </c>
      <c r="J18" s="12">
        <f t="shared" si="2"/>
        <v>4.2</v>
      </c>
      <c r="K18" s="12">
        <f t="shared" si="2"/>
        <v>4.2</v>
      </c>
      <c r="L18" s="12">
        <f t="shared" si="2"/>
        <v>4.2</v>
      </c>
      <c r="M18" s="12">
        <f t="shared" si="2"/>
        <v>4.2</v>
      </c>
      <c r="N18" s="12">
        <f t="shared" si="2"/>
        <v>4.2</v>
      </c>
      <c r="O18" s="12">
        <f t="shared" si="2"/>
        <v>4.2</v>
      </c>
      <c r="P18" s="12">
        <f t="shared" si="2"/>
        <v>4.2</v>
      </c>
      <c r="Q18" s="12">
        <f>+P18*4</f>
        <v>16.8</v>
      </c>
      <c r="R18" s="12">
        <v>3</v>
      </c>
      <c r="T18" s="9"/>
      <c r="U18" s="11"/>
    </row>
    <row r="19" spans="1:21" s="2" customFormat="1" x14ac:dyDescent="0.2">
      <c r="A19" s="31"/>
      <c r="B19" s="1" t="s">
        <v>31</v>
      </c>
      <c r="D19" s="47">
        <f t="shared" si="2"/>
        <v>1.769625</v>
      </c>
      <c r="E19" s="12">
        <f t="shared" si="2"/>
        <v>1.769625</v>
      </c>
      <c r="F19" s="12">
        <f t="shared" si="2"/>
        <v>1.769625</v>
      </c>
      <c r="G19" s="12">
        <f t="shared" si="2"/>
        <v>1.769625</v>
      </c>
      <c r="H19" s="12">
        <f t="shared" si="2"/>
        <v>1.769625</v>
      </c>
      <c r="I19" s="12">
        <f t="shared" si="2"/>
        <v>1.769625</v>
      </c>
      <c r="J19" s="12">
        <f t="shared" si="2"/>
        <v>1.769625</v>
      </c>
      <c r="K19" s="12">
        <f t="shared" si="2"/>
        <v>1.769625</v>
      </c>
      <c r="L19" s="12">
        <f t="shared" si="2"/>
        <v>1.769625</v>
      </c>
      <c r="M19" s="12">
        <f t="shared" si="2"/>
        <v>1.769625</v>
      </c>
      <c r="N19" s="12">
        <f t="shared" si="2"/>
        <v>1.769625</v>
      </c>
      <c r="O19" s="12">
        <f t="shared" si="2"/>
        <v>1.769625</v>
      </c>
      <c r="P19" s="12">
        <f t="shared" si="2"/>
        <v>1.769625</v>
      </c>
      <c r="Q19" s="12">
        <f>+P19*4</f>
        <v>7.0785</v>
      </c>
      <c r="R19" s="12">
        <f>+Q19</f>
        <v>7.0785</v>
      </c>
      <c r="T19" s="9"/>
      <c r="U19" s="11"/>
    </row>
    <row r="20" spans="1:21" s="2" customFormat="1" x14ac:dyDescent="0.2">
      <c r="A20" s="31"/>
      <c r="B20" s="1" t="s">
        <v>32</v>
      </c>
      <c r="D20" s="47">
        <f t="shared" si="2"/>
        <v>5.8125</v>
      </c>
      <c r="E20" s="12">
        <f t="shared" si="2"/>
        <v>5.8125</v>
      </c>
      <c r="F20" s="12">
        <f t="shared" si="2"/>
        <v>5.8125</v>
      </c>
      <c r="G20" s="12">
        <f t="shared" si="2"/>
        <v>5.8125</v>
      </c>
      <c r="H20" s="12">
        <f t="shared" si="2"/>
        <v>5.8125</v>
      </c>
      <c r="I20" s="12">
        <f t="shared" si="2"/>
        <v>5.8125</v>
      </c>
      <c r="J20" s="12">
        <f t="shared" si="2"/>
        <v>5.8125</v>
      </c>
      <c r="K20" s="12">
        <f t="shared" si="2"/>
        <v>5.8125</v>
      </c>
      <c r="L20" s="12">
        <f t="shared" si="2"/>
        <v>5.8125</v>
      </c>
      <c r="M20" s="12">
        <f t="shared" si="2"/>
        <v>5.8125</v>
      </c>
      <c r="N20" s="12">
        <f t="shared" si="2"/>
        <v>5.8125</v>
      </c>
      <c r="O20" s="12">
        <f t="shared" si="2"/>
        <v>5.8125</v>
      </c>
      <c r="P20" s="12">
        <f t="shared" si="2"/>
        <v>5.8125</v>
      </c>
      <c r="Q20" s="12">
        <f>+P20*4</f>
        <v>23.25</v>
      </c>
      <c r="R20" s="12">
        <f>+Q20</f>
        <v>23.25</v>
      </c>
      <c r="T20" s="9"/>
      <c r="U20" s="11"/>
    </row>
    <row r="21" spans="1:21" s="2" customFormat="1" x14ac:dyDescent="0.2">
      <c r="A21" s="31"/>
      <c r="B21" s="1" t="s">
        <v>33</v>
      </c>
      <c r="D21" s="47">
        <f t="shared" si="2"/>
        <v>0.265625</v>
      </c>
      <c r="E21" s="12">
        <f t="shared" si="2"/>
        <v>0.265625</v>
      </c>
      <c r="F21" s="12">
        <f t="shared" si="2"/>
        <v>0.265625</v>
      </c>
      <c r="G21" s="12">
        <f t="shared" si="2"/>
        <v>0.265625</v>
      </c>
      <c r="H21" s="12">
        <f t="shared" si="2"/>
        <v>0.265625</v>
      </c>
      <c r="I21" s="12">
        <f t="shared" si="2"/>
        <v>0.265625</v>
      </c>
      <c r="J21" s="12">
        <f t="shared" si="2"/>
        <v>0.265625</v>
      </c>
      <c r="K21" s="12">
        <f t="shared" si="2"/>
        <v>0.265625</v>
      </c>
      <c r="L21" s="12">
        <f t="shared" si="2"/>
        <v>0.265625</v>
      </c>
      <c r="M21" s="12">
        <f t="shared" si="2"/>
        <v>0.265625</v>
      </c>
      <c r="N21" s="12">
        <f t="shared" si="2"/>
        <v>0.265625</v>
      </c>
      <c r="O21" s="12">
        <f t="shared" si="2"/>
        <v>0.265625</v>
      </c>
      <c r="P21" s="12">
        <f t="shared" si="2"/>
        <v>0.265625</v>
      </c>
      <c r="Q21" s="12">
        <f>+P21*4</f>
        <v>1.0625</v>
      </c>
      <c r="R21" s="12">
        <f>+Q21</f>
        <v>1.0625</v>
      </c>
      <c r="T21" s="9"/>
      <c r="U21" s="11"/>
    </row>
    <row r="22" spans="1:21" s="2" customFormat="1" x14ac:dyDescent="0.2">
      <c r="A22" s="31"/>
      <c r="B22" s="25" t="s">
        <v>39</v>
      </c>
      <c r="D22" s="47"/>
      <c r="E22" s="12"/>
      <c r="F22" s="12"/>
      <c r="G22" s="12"/>
      <c r="H22" s="12"/>
      <c r="I22" s="12"/>
      <c r="J22" s="12"/>
      <c r="K22" s="12"/>
      <c r="L22" s="12"/>
      <c r="M22" s="12"/>
      <c r="N22" s="12"/>
      <c r="O22" s="12"/>
      <c r="P22" s="12"/>
      <c r="Q22" s="12"/>
      <c r="R22" s="12"/>
      <c r="T22" s="9"/>
      <c r="U22" s="11"/>
    </row>
    <row r="23" spans="1:21" s="2" customFormat="1" x14ac:dyDescent="0.2">
      <c r="A23" s="31"/>
      <c r="B23" s="2" t="s">
        <v>18</v>
      </c>
      <c r="D23" s="47">
        <v>20</v>
      </c>
      <c r="E23" s="12">
        <v>30</v>
      </c>
      <c r="F23" s="12">
        <f t="shared" ref="F23:P23" si="3">+E23</f>
        <v>30</v>
      </c>
      <c r="G23" s="12">
        <f t="shared" si="3"/>
        <v>30</v>
      </c>
      <c r="H23" s="12">
        <f t="shared" si="3"/>
        <v>30</v>
      </c>
      <c r="I23" s="12">
        <f t="shared" si="3"/>
        <v>30</v>
      </c>
      <c r="J23" s="12">
        <f t="shared" si="3"/>
        <v>30</v>
      </c>
      <c r="K23" s="12">
        <f t="shared" si="3"/>
        <v>30</v>
      </c>
      <c r="L23" s="12">
        <f t="shared" si="3"/>
        <v>30</v>
      </c>
      <c r="M23" s="12">
        <f t="shared" si="3"/>
        <v>30</v>
      </c>
      <c r="N23" s="12">
        <f t="shared" si="3"/>
        <v>30</v>
      </c>
      <c r="O23" s="12">
        <f t="shared" si="3"/>
        <v>30</v>
      </c>
      <c r="P23" s="12">
        <f t="shared" si="3"/>
        <v>30</v>
      </c>
      <c r="Q23" s="12">
        <f>+P23*4</f>
        <v>120</v>
      </c>
      <c r="R23" s="12">
        <f>+Q23</f>
        <v>120</v>
      </c>
      <c r="T23" s="9"/>
      <c r="U23" s="11"/>
    </row>
    <row r="24" spans="1:21" s="2" customFormat="1" x14ac:dyDescent="0.2">
      <c r="A24" s="31"/>
      <c r="B24" s="2" t="s">
        <v>13</v>
      </c>
      <c r="D24" s="47"/>
      <c r="E24" s="12">
        <v>30</v>
      </c>
      <c r="F24" s="12">
        <f>+E24</f>
        <v>30</v>
      </c>
      <c r="G24" s="12">
        <f>+F24</f>
        <v>30</v>
      </c>
      <c r="H24" s="12">
        <f>+G24</f>
        <v>30</v>
      </c>
      <c r="I24" s="12"/>
      <c r="J24" s="12"/>
      <c r="K24" s="12"/>
      <c r="L24" s="12"/>
      <c r="M24" s="12"/>
      <c r="N24" s="12"/>
      <c r="O24" s="12"/>
      <c r="P24" s="12"/>
      <c r="Q24" s="12"/>
      <c r="R24" s="12"/>
      <c r="T24" s="9"/>
      <c r="U24" s="11"/>
    </row>
    <row r="25" spans="1:21" s="2" customFormat="1" x14ac:dyDescent="0.2">
      <c r="A25" s="31"/>
      <c r="D25" s="47"/>
      <c r="E25" s="12"/>
      <c r="F25" s="12"/>
      <c r="G25" s="12"/>
      <c r="H25" s="12"/>
      <c r="I25" s="12"/>
      <c r="J25" s="12"/>
      <c r="K25" s="12"/>
      <c r="L25" s="12"/>
      <c r="M25" s="12"/>
      <c r="N25" s="12"/>
      <c r="O25" s="12"/>
      <c r="P25" s="12"/>
      <c r="Q25" s="12"/>
      <c r="R25" s="12"/>
      <c r="T25" s="9"/>
      <c r="U25" s="11"/>
    </row>
    <row r="26" spans="1:21" s="2" customFormat="1" x14ac:dyDescent="0.2">
      <c r="A26" s="31"/>
      <c r="B26" s="2" t="s">
        <v>71</v>
      </c>
      <c r="D26" s="47">
        <v>12.5</v>
      </c>
      <c r="E26" s="12">
        <v>12.5</v>
      </c>
      <c r="F26" s="12">
        <f>+E26</f>
        <v>12.5</v>
      </c>
      <c r="G26" s="12">
        <f t="shared" ref="G26:P26" si="4">+F26</f>
        <v>12.5</v>
      </c>
      <c r="H26" s="12">
        <f t="shared" si="4"/>
        <v>12.5</v>
      </c>
      <c r="I26" s="12">
        <f t="shared" si="4"/>
        <v>12.5</v>
      </c>
      <c r="J26" s="12">
        <f t="shared" si="4"/>
        <v>12.5</v>
      </c>
      <c r="K26" s="12">
        <f t="shared" si="4"/>
        <v>12.5</v>
      </c>
      <c r="L26" s="12">
        <f t="shared" si="4"/>
        <v>12.5</v>
      </c>
      <c r="M26" s="12">
        <f t="shared" si="4"/>
        <v>12.5</v>
      </c>
      <c r="N26" s="12">
        <f t="shared" si="4"/>
        <v>12.5</v>
      </c>
      <c r="O26" s="12">
        <f t="shared" si="4"/>
        <v>12.5</v>
      </c>
      <c r="P26" s="12">
        <f t="shared" si="4"/>
        <v>12.5</v>
      </c>
      <c r="Q26" s="12">
        <f>+P26*4</f>
        <v>50</v>
      </c>
      <c r="R26" s="12">
        <f>+Q26</f>
        <v>50</v>
      </c>
      <c r="T26" s="9"/>
      <c r="U26" s="11"/>
    </row>
    <row r="27" spans="1:21" s="2" customFormat="1" x14ac:dyDescent="0.2">
      <c r="A27" s="31"/>
      <c r="D27" s="47"/>
      <c r="E27" s="12"/>
      <c r="F27" s="12"/>
      <c r="G27" s="12"/>
      <c r="H27" s="12"/>
      <c r="I27" s="12"/>
      <c r="J27" s="12"/>
      <c r="K27" s="12"/>
      <c r="L27" s="12"/>
      <c r="M27" s="12"/>
      <c r="N27" s="12"/>
      <c r="O27" s="12"/>
      <c r="P27" s="12"/>
      <c r="Q27" s="12"/>
      <c r="R27" s="12"/>
      <c r="T27" s="9"/>
      <c r="U27" s="11"/>
    </row>
    <row r="28" spans="1:21" s="2" customFormat="1" x14ac:dyDescent="0.2">
      <c r="A28" s="31"/>
      <c r="B28" s="25" t="s">
        <v>19</v>
      </c>
      <c r="D28" s="47">
        <v>10</v>
      </c>
      <c r="E28" s="12">
        <f>+D28</f>
        <v>10</v>
      </c>
      <c r="F28" s="12">
        <v>8</v>
      </c>
      <c r="G28" s="12">
        <f t="shared" ref="G28:P28" si="5">+F28</f>
        <v>8</v>
      </c>
      <c r="H28" s="12">
        <f t="shared" si="5"/>
        <v>8</v>
      </c>
      <c r="I28" s="12">
        <f t="shared" si="5"/>
        <v>8</v>
      </c>
      <c r="J28" s="12">
        <f t="shared" si="5"/>
        <v>8</v>
      </c>
      <c r="K28" s="12">
        <f t="shared" si="5"/>
        <v>8</v>
      </c>
      <c r="L28" s="12">
        <f t="shared" si="5"/>
        <v>8</v>
      </c>
      <c r="M28" s="12">
        <f t="shared" si="5"/>
        <v>8</v>
      </c>
      <c r="N28" s="12">
        <f t="shared" si="5"/>
        <v>8</v>
      </c>
      <c r="O28" s="12">
        <f t="shared" si="5"/>
        <v>8</v>
      </c>
      <c r="P28" s="12">
        <f t="shared" si="5"/>
        <v>8</v>
      </c>
      <c r="Q28" s="12">
        <f>+P28*4</f>
        <v>32</v>
      </c>
      <c r="R28" s="12">
        <f>+Q28</f>
        <v>32</v>
      </c>
      <c r="T28" s="9"/>
      <c r="U28" s="11"/>
    </row>
    <row r="29" spans="1:21" s="2" customFormat="1" x14ac:dyDescent="0.2">
      <c r="A29" s="31"/>
      <c r="D29" s="48"/>
      <c r="E29" s="13"/>
      <c r="F29" s="13"/>
      <c r="G29" s="13"/>
      <c r="H29" s="13"/>
      <c r="I29" s="13"/>
      <c r="J29" s="13"/>
      <c r="K29" s="13"/>
      <c r="L29" s="13"/>
      <c r="M29" s="13"/>
      <c r="N29" s="13"/>
      <c r="O29" s="13"/>
      <c r="P29" s="13"/>
      <c r="Q29" s="13"/>
      <c r="R29" s="13"/>
      <c r="T29" s="9"/>
      <c r="U29" s="11"/>
    </row>
    <row r="30" spans="1:21" s="26" customFormat="1" x14ac:dyDescent="0.2">
      <c r="A30" s="32" t="s">
        <v>40</v>
      </c>
      <c r="B30" s="25" t="s">
        <v>21</v>
      </c>
      <c r="D30" s="46">
        <f>SUM(D9:D29)</f>
        <v>71.159500000000008</v>
      </c>
      <c r="E30" s="27">
        <f t="shared" ref="E30:R30" si="6">SUM(E9:E29)</f>
        <v>109.9045</v>
      </c>
      <c r="F30" s="27">
        <f t="shared" si="6"/>
        <v>107.617</v>
      </c>
      <c r="G30" s="27">
        <f t="shared" si="6"/>
        <v>107.3295</v>
      </c>
      <c r="H30" s="27">
        <f t="shared" si="6"/>
        <v>107.042</v>
      </c>
      <c r="I30" s="27">
        <f t="shared" si="6"/>
        <v>76.754500000000007</v>
      </c>
      <c r="J30" s="27">
        <f t="shared" si="6"/>
        <v>75.834500000000006</v>
      </c>
      <c r="K30" s="27">
        <f t="shared" si="6"/>
        <v>73.722000000000008</v>
      </c>
      <c r="L30" s="27">
        <f t="shared" si="6"/>
        <v>73.722000000000008</v>
      </c>
      <c r="M30" s="27">
        <f t="shared" si="6"/>
        <v>71.581375000000008</v>
      </c>
      <c r="N30" s="27">
        <f t="shared" si="6"/>
        <v>67.941249999999997</v>
      </c>
      <c r="O30" s="27">
        <f t="shared" si="6"/>
        <v>67.941249999999997</v>
      </c>
      <c r="P30" s="27">
        <f t="shared" si="6"/>
        <v>67.941249999999997</v>
      </c>
      <c r="Q30" s="27">
        <f t="shared" si="6"/>
        <v>263.19100000000003</v>
      </c>
      <c r="R30" s="27">
        <f t="shared" si="6"/>
        <v>247.89099999999999</v>
      </c>
      <c r="T30" s="28"/>
      <c r="U30" s="29"/>
    </row>
    <row r="31" spans="1:21" s="26" customFormat="1" x14ac:dyDescent="0.2">
      <c r="A31" s="32"/>
      <c r="B31" s="25"/>
      <c r="D31" s="46"/>
      <c r="E31" s="27"/>
      <c r="F31" s="27"/>
      <c r="G31" s="27"/>
      <c r="H31" s="27"/>
      <c r="I31" s="27"/>
      <c r="J31" s="27"/>
      <c r="K31" s="27"/>
      <c r="L31" s="27"/>
      <c r="M31" s="27"/>
      <c r="N31" s="27"/>
      <c r="O31" s="27"/>
      <c r="P31" s="27"/>
      <c r="Q31" s="27"/>
      <c r="R31" s="27"/>
      <c r="T31" s="28"/>
      <c r="U31" s="29"/>
    </row>
    <row r="32" spans="1:21" s="26" customFormat="1" x14ac:dyDescent="0.2">
      <c r="A32" s="32"/>
      <c r="B32" s="3" t="s">
        <v>35</v>
      </c>
      <c r="C32" s="3"/>
      <c r="D32" s="47">
        <v>52</v>
      </c>
      <c r="E32" s="27"/>
      <c r="F32" s="27"/>
      <c r="G32" s="27"/>
      <c r="H32" s="27"/>
      <c r="I32" s="27"/>
      <c r="J32" s="27"/>
      <c r="K32" s="27"/>
      <c r="L32" s="27"/>
      <c r="M32" s="27"/>
      <c r="N32" s="27"/>
      <c r="O32" s="27"/>
      <c r="P32" s="27"/>
      <c r="Q32" s="27"/>
      <c r="R32" s="27"/>
      <c r="T32" s="28"/>
      <c r="U32" s="29"/>
    </row>
    <row r="33" spans="1:21" s="2" customFormat="1" x14ac:dyDescent="0.2">
      <c r="A33" s="31"/>
      <c r="B33" s="3" t="s">
        <v>54</v>
      </c>
      <c r="C33" s="3"/>
      <c r="D33" s="48">
        <v>72</v>
      </c>
      <c r="E33" s="13"/>
      <c r="F33" s="13"/>
      <c r="G33" s="13"/>
      <c r="H33" s="13"/>
      <c r="I33" s="13"/>
      <c r="J33" s="13"/>
      <c r="K33" s="13"/>
      <c r="L33" s="13"/>
      <c r="M33" s="13"/>
      <c r="N33" s="13"/>
      <c r="O33" s="13"/>
      <c r="P33" s="13"/>
      <c r="Q33" s="13"/>
      <c r="R33" s="13"/>
      <c r="T33" s="9"/>
      <c r="U33" s="11"/>
    </row>
    <row r="34" spans="1:21" s="26" customFormat="1" ht="13.5" thickBot="1" x14ac:dyDescent="0.25">
      <c r="A34" s="32" t="s">
        <v>41</v>
      </c>
      <c r="B34" s="25" t="s">
        <v>43</v>
      </c>
      <c r="C34" s="32" t="s">
        <v>44</v>
      </c>
      <c r="D34" s="49">
        <f>+D6-D30+D33+D32</f>
        <v>207.84049999999999</v>
      </c>
      <c r="E34" s="33">
        <f t="shared" ref="E34:R34" si="7">+E6-E30</f>
        <v>40.095500000000001</v>
      </c>
      <c r="F34" s="33">
        <f t="shared" si="7"/>
        <v>42.382999999999996</v>
      </c>
      <c r="G34" s="33">
        <f t="shared" si="7"/>
        <v>42.670500000000004</v>
      </c>
      <c r="H34" s="33">
        <f t="shared" si="7"/>
        <v>42.957999999999998</v>
      </c>
      <c r="I34" s="33">
        <f t="shared" si="7"/>
        <v>73.245499999999993</v>
      </c>
      <c r="J34" s="33">
        <f t="shared" si="7"/>
        <v>74.165499999999994</v>
      </c>
      <c r="K34" s="33">
        <f t="shared" si="7"/>
        <v>76.277999999999992</v>
      </c>
      <c r="L34" s="33">
        <f t="shared" si="7"/>
        <v>76.277999999999992</v>
      </c>
      <c r="M34" s="33">
        <f t="shared" si="7"/>
        <v>78.418624999999992</v>
      </c>
      <c r="N34" s="33">
        <f t="shared" si="7"/>
        <v>82.058750000000003</v>
      </c>
      <c r="O34" s="33">
        <f t="shared" si="7"/>
        <v>82.058750000000003</v>
      </c>
      <c r="P34" s="33">
        <f t="shared" si="7"/>
        <v>82.058750000000003</v>
      </c>
      <c r="Q34" s="33">
        <f t="shared" si="7"/>
        <v>336.80899999999997</v>
      </c>
      <c r="R34" s="33">
        <f t="shared" si="7"/>
        <v>352.10900000000004</v>
      </c>
      <c r="T34" s="28"/>
      <c r="U34" s="29"/>
    </row>
    <row r="35" spans="1:21" s="2" customFormat="1" ht="13.5" thickTop="1" x14ac:dyDescent="0.2">
      <c r="A35" s="31"/>
      <c r="B35" s="3"/>
      <c r="C35" s="3"/>
      <c r="D35" s="47"/>
      <c r="E35" s="12"/>
      <c r="F35" s="12"/>
      <c r="G35" s="12"/>
      <c r="H35" s="12"/>
      <c r="I35" s="12"/>
      <c r="J35" s="12"/>
      <c r="K35" s="12"/>
      <c r="L35" s="12"/>
      <c r="M35" s="12"/>
      <c r="N35" s="12"/>
      <c r="O35" s="12"/>
      <c r="P35" s="12"/>
      <c r="Q35" s="12"/>
      <c r="R35" s="12"/>
      <c r="T35" s="39" t="s">
        <v>55</v>
      </c>
      <c r="U35" s="40" t="s">
        <v>49</v>
      </c>
    </row>
    <row r="36" spans="1:21" x14ac:dyDescent="0.2">
      <c r="B36" s="54" t="s">
        <v>22</v>
      </c>
      <c r="D36" s="50"/>
      <c r="E36" s="14"/>
      <c r="F36" s="14"/>
      <c r="G36" s="14"/>
      <c r="H36" s="14"/>
      <c r="I36" s="14"/>
      <c r="J36" s="14"/>
      <c r="K36" s="14"/>
      <c r="L36" s="14"/>
      <c r="M36" s="14"/>
      <c r="N36" s="14"/>
      <c r="O36" s="14"/>
      <c r="P36" s="14"/>
      <c r="Q36" s="14"/>
      <c r="R36" s="14"/>
      <c r="T36" s="41" t="s">
        <v>22</v>
      </c>
      <c r="U36" s="42" t="s">
        <v>48</v>
      </c>
    </row>
    <row r="37" spans="1:21" x14ac:dyDescent="0.2">
      <c r="A37" s="6" t="s">
        <v>42</v>
      </c>
      <c r="B37" s="1" t="s">
        <v>70</v>
      </c>
      <c r="C37" s="1">
        <v>266</v>
      </c>
      <c r="D37" s="50">
        <v>86</v>
      </c>
      <c r="E37" s="14">
        <v>25</v>
      </c>
      <c r="F37" s="14">
        <v>25</v>
      </c>
      <c r="G37" s="14">
        <v>25</v>
      </c>
      <c r="H37" s="14">
        <v>25</v>
      </c>
      <c r="I37" s="14">
        <f>266-(+D37+E37+F37+G37+H37)</f>
        <v>80</v>
      </c>
      <c r="J37" s="14"/>
      <c r="K37" s="14"/>
      <c r="L37" s="14"/>
      <c r="M37" s="14"/>
      <c r="N37" s="14"/>
      <c r="O37" s="14"/>
      <c r="P37" s="14"/>
      <c r="Q37" s="14"/>
      <c r="R37" s="14"/>
      <c r="T37" s="10">
        <f>+C37-D37</f>
        <v>180</v>
      </c>
      <c r="U37" s="5">
        <f>+T37*0.046</f>
        <v>8.2799999999999994</v>
      </c>
    </row>
    <row r="38" spans="1:21" x14ac:dyDescent="0.2">
      <c r="A38" s="6" t="s">
        <v>42</v>
      </c>
      <c r="B38" s="1" t="s">
        <v>25</v>
      </c>
      <c r="C38" s="1">
        <v>35</v>
      </c>
      <c r="D38" s="50">
        <v>35</v>
      </c>
      <c r="E38" s="14"/>
      <c r="F38" s="14"/>
      <c r="G38" s="14"/>
      <c r="H38" s="14"/>
      <c r="I38" s="14"/>
      <c r="J38" s="14"/>
      <c r="K38" s="14"/>
      <c r="L38" s="14"/>
      <c r="M38" s="14"/>
      <c r="N38" s="14"/>
      <c r="O38" s="14"/>
      <c r="P38" s="14"/>
      <c r="Q38" s="14"/>
      <c r="R38" s="14"/>
      <c r="T38" s="10">
        <f>+C38-D38</f>
        <v>0</v>
      </c>
    </row>
    <row r="39" spans="1:21" x14ac:dyDescent="0.2">
      <c r="A39" s="6" t="s">
        <v>42</v>
      </c>
      <c r="B39" s="1" t="s">
        <v>34</v>
      </c>
      <c r="C39" s="8">
        <f>+T39</f>
        <v>184</v>
      </c>
      <c r="D39" s="50"/>
      <c r="E39" s="14"/>
      <c r="F39" s="14"/>
      <c r="G39" s="14"/>
      <c r="H39" s="14"/>
      <c r="I39" s="14"/>
      <c r="J39" s="14"/>
      <c r="K39" s="14"/>
      <c r="L39" s="14"/>
      <c r="M39" s="14"/>
      <c r="N39" s="14"/>
      <c r="O39" s="14"/>
      <c r="P39" s="14"/>
      <c r="Q39" s="14"/>
      <c r="R39" s="14"/>
      <c r="S39">
        <v>184</v>
      </c>
      <c r="T39" s="10">
        <f t="shared" ref="T39:T48" si="8">SUM(D39:S39)</f>
        <v>184</v>
      </c>
      <c r="U39" s="5">
        <f>+T39*0.0625</f>
        <v>11.5</v>
      </c>
    </row>
    <row r="40" spans="1:21" x14ac:dyDescent="0.2">
      <c r="A40" s="6" t="s">
        <v>42</v>
      </c>
      <c r="B40" s="19" t="s">
        <v>14</v>
      </c>
      <c r="C40" s="1"/>
      <c r="D40" s="50"/>
      <c r="E40" s="14"/>
      <c r="F40" s="14"/>
      <c r="G40" s="14"/>
      <c r="H40" s="14"/>
      <c r="I40" s="14"/>
      <c r="J40" s="14"/>
      <c r="K40" s="14"/>
      <c r="L40" s="14"/>
      <c r="M40" s="14"/>
      <c r="N40" s="14"/>
      <c r="O40" s="14"/>
      <c r="P40" s="14"/>
      <c r="Q40" s="14"/>
      <c r="R40" s="14"/>
    </row>
    <row r="41" spans="1:21" x14ac:dyDescent="0.2">
      <c r="A41" s="6" t="s">
        <v>42</v>
      </c>
      <c r="B41" s="7" t="s">
        <v>27</v>
      </c>
      <c r="C41" s="8">
        <v>130</v>
      </c>
      <c r="D41" s="50"/>
      <c r="E41" s="14"/>
      <c r="F41" s="14"/>
      <c r="G41" s="14"/>
      <c r="H41" s="14"/>
      <c r="I41" s="14"/>
      <c r="J41" s="14"/>
      <c r="K41" s="14">
        <v>130</v>
      </c>
      <c r="L41" s="14"/>
      <c r="M41" s="14"/>
      <c r="N41" s="14"/>
      <c r="O41" s="14"/>
      <c r="P41" s="14"/>
      <c r="Q41" s="14"/>
      <c r="R41" s="14"/>
      <c r="T41" s="10">
        <f t="shared" si="8"/>
        <v>130</v>
      </c>
      <c r="U41" s="5">
        <f>+T41*0.065</f>
        <v>8.4500000000000011</v>
      </c>
    </row>
    <row r="42" spans="1:21" x14ac:dyDescent="0.2">
      <c r="A42" s="6" t="s">
        <v>42</v>
      </c>
      <c r="B42" s="1" t="s">
        <v>26</v>
      </c>
      <c r="C42" s="8">
        <v>125</v>
      </c>
      <c r="D42" s="50"/>
      <c r="E42" s="14"/>
      <c r="F42" s="14"/>
      <c r="G42" s="14"/>
      <c r="H42" s="14"/>
      <c r="I42" s="14"/>
      <c r="J42" s="14"/>
      <c r="K42" s="14"/>
      <c r="L42" s="14">
        <v>125</v>
      </c>
      <c r="M42" s="14"/>
      <c r="N42" s="14"/>
      <c r="O42" s="14"/>
      <c r="P42" s="14"/>
      <c r="Q42" s="14"/>
      <c r="R42" s="14"/>
      <c r="T42" s="10">
        <f t="shared" si="8"/>
        <v>125</v>
      </c>
      <c r="U42" s="5">
        <f>+T42*0.0685</f>
        <v>8.5625</v>
      </c>
    </row>
    <row r="43" spans="1:21" x14ac:dyDescent="0.2">
      <c r="A43" s="6" t="s">
        <v>42</v>
      </c>
      <c r="B43" s="1" t="s">
        <v>28</v>
      </c>
      <c r="C43" s="8">
        <v>255</v>
      </c>
      <c r="D43" s="50"/>
      <c r="E43" s="14"/>
      <c r="F43" s="14"/>
      <c r="G43" s="14"/>
      <c r="H43" s="14"/>
      <c r="I43" s="14"/>
      <c r="J43" s="14"/>
      <c r="K43" s="14"/>
      <c r="L43" s="14"/>
      <c r="M43" s="14"/>
      <c r="N43" s="14">
        <v>255</v>
      </c>
      <c r="O43" s="14"/>
      <c r="P43" s="14"/>
      <c r="Q43" s="14"/>
      <c r="R43" s="14"/>
      <c r="T43" s="10">
        <f t="shared" si="8"/>
        <v>255</v>
      </c>
      <c r="U43" s="5">
        <f>+T43*0.0571</f>
        <v>14.560499999999999</v>
      </c>
    </row>
    <row r="44" spans="1:21" x14ac:dyDescent="0.2">
      <c r="A44" s="6" t="s">
        <v>42</v>
      </c>
      <c r="B44" s="1" t="s">
        <v>29</v>
      </c>
      <c r="C44" s="8">
        <v>138</v>
      </c>
      <c r="D44" s="50"/>
      <c r="E44" s="14"/>
      <c r="F44" s="14"/>
      <c r="G44" s="14"/>
      <c r="H44" s="14"/>
      <c r="I44" s="14"/>
      <c r="J44" s="14"/>
      <c r="K44" s="14"/>
      <c r="L44" s="14"/>
      <c r="M44" s="14"/>
      <c r="N44" s="14"/>
      <c r="O44" s="14"/>
      <c r="P44" s="14"/>
      <c r="Q44" s="14">
        <v>138</v>
      </c>
      <c r="R44" s="14"/>
      <c r="T44" s="10">
        <f t="shared" si="8"/>
        <v>138</v>
      </c>
      <c r="U44" s="5">
        <f>+T44*0.073</f>
        <v>10.074</v>
      </c>
    </row>
    <row r="45" spans="1:21" x14ac:dyDescent="0.2">
      <c r="A45" s="6" t="s">
        <v>42</v>
      </c>
      <c r="B45" s="1" t="s">
        <v>30</v>
      </c>
      <c r="C45" s="8">
        <v>320</v>
      </c>
      <c r="D45" s="50"/>
      <c r="E45" s="14"/>
      <c r="F45" s="14"/>
      <c r="G45" s="14"/>
      <c r="H45" s="14"/>
      <c r="I45" s="14"/>
      <c r="J45" s="14"/>
      <c r="K45" s="14"/>
      <c r="L45" s="14"/>
      <c r="M45" s="14"/>
      <c r="N45" s="14"/>
      <c r="O45" s="14"/>
      <c r="P45" s="14"/>
      <c r="Q45" s="14"/>
      <c r="R45" s="14">
        <v>320</v>
      </c>
      <c r="T45" s="10">
        <f t="shared" si="8"/>
        <v>320</v>
      </c>
      <c r="U45" s="5">
        <f>+T45*0.0525</f>
        <v>16.8</v>
      </c>
    </row>
    <row r="46" spans="1:21" x14ac:dyDescent="0.2">
      <c r="A46" s="6" t="s">
        <v>42</v>
      </c>
      <c r="B46" s="1" t="s">
        <v>31</v>
      </c>
      <c r="C46" s="8">
        <v>121</v>
      </c>
      <c r="D46" s="50"/>
      <c r="E46" s="14"/>
      <c r="F46" s="14"/>
      <c r="G46" s="14"/>
      <c r="H46" s="14"/>
      <c r="I46" s="14"/>
      <c r="J46" s="14"/>
      <c r="K46" s="14"/>
      <c r="L46" s="14"/>
      <c r="M46" s="14"/>
      <c r="N46" s="14"/>
      <c r="O46" s="14"/>
      <c r="P46" s="14"/>
      <c r="Q46" s="14"/>
      <c r="R46" s="14"/>
      <c r="S46">
        <v>121</v>
      </c>
      <c r="T46" s="10">
        <f t="shared" si="8"/>
        <v>121</v>
      </c>
      <c r="U46" s="5">
        <f>+T46*0.0585</f>
        <v>7.0785</v>
      </c>
    </row>
    <row r="47" spans="1:21" x14ac:dyDescent="0.2">
      <c r="A47" s="6" t="s">
        <v>42</v>
      </c>
      <c r="B47" s="1" t="s">
        <v>32</v>
      </c>
      <c r="C47" s="8">
        <v>300</v>
      </c>
      <c r="D47" s="50"/>
      <c r="E47" s="14"/>
      <c r="F47" s="14"/>
      <c r="G47" s="14"/>
      <c r="H47" s="14"/>
      <c r="I47" s="14"/>
      <c r="J47" s="14"/>
      <c r="K47" s="14"/>
      <c r="L47" s="14"/>
      <c r="M47" s="14"/>
      <c r="N47" s="14"/>
      <c r="O47" s="14"/>
      <c r="P47" s="14"/>
      <c r="Q47" s="14"/>
      <c r="R47" s="14"/>
      <c r="S47">
        <v>300</v>
      </c>
      <c r="T47" s="10">
        <f t="shared" si="8"/>
        <v>300</v>
      </c>
      <c r="U47" s="5">
        <f>+T47*0.0775</f>
        <v>23.25</v>
      </c>
    </row>
    <row r="48" spans="1:21" x14ac:dyDescent="0.2">
      <c r="A48" s="6" t="s">
        <v>42</v>
      </c>
      <c r="B48" s="1" t="s">
        <v>33</v>
      </c>
      <c r="C48" s="8">
        <v>17</v>
      </c>
      <c r="D48" s="50"/>
      <c r="E48" s="14"/>
      <c r="F48" s="14"/>
      <c r="G48" s="14"/>
      <c r="H48" s="14"/>
      <c r="I48" s="14"/>
      <c r="J48" s="14"/>
      <c r="K48" s="14"/>
      <c r="L48" s="14"/>
      <c r="M48" s="14"/>
      <c r="N48" s="14"/>
      <c r="O48" s="14"/>
      <c r="P48" s="14"/>
      <c r="Q48" s="14"/>
      <c r="R48" s="14"/>
      <c r="S48">
        <v>17</v>
      </c>
      <c r="T48" s="10">
        <f t="shared" si="8"/>
        <v>17</v>
      </c>
      <c r="U48" s="5">
        <f>+T48*0.0625</f>
        <v>1.0625</v>
      </c>
    </row>
    <row r="49" spans="1:21" ht="13.5" thickBot="1" x14ac:dyDescent="0.25">
      <c r="B49" s="19" t="s">
        <v>69</v>
      </c>
      <c r="C49" s="70">
        <f>SUM(C37:C48)</f>
        <v>1891</v>
      </c>
      <c r="D49" s="50"/>
      <c r="E49" s="14"/>
      <c r="F49" s="14"/>
      <c r="G49" s="14"/>
      <c r="H49" s="14"/>
      <c r="I49" s="14"/>
      <c r="J49" s="14"/>
      <c r="K49" s="14"/>
      <c r="L49" s="14"/>
      <c r="M49" s="14"/>
      <c r="N49" s="14"/>
      <c r="O49" s="14"/>
      <c r="P49" s="14"/>
      <c r="Q49" s="14"/>
      <c r="R49" s="14"/>
    </row>
    <row r="50" spans="1:21" s="16" customFormat="1" ht="14.25" thickTop="1" thickBot="1" x14ac:dyDescent="0.25">
      <c r="A50" s="17" t="s">
        <v>45</v>
      </c>
      <c r="B50" s="16" t="s">
        <v>53</v>
      </c>
      <c r="C50" s="17" t="s">
        <v>51</v>
      </c>
      <c r="D50" s="51">
        <f t="shared" ref="D50:R50" si="9">-SUM(D35:D49)+D34</f>
        <v>86.840499999999992</v>
      </c>
      <c r="E50" s="34">
        <f t="shared" si="9"/>
        <v>15.095500000000001</v>
      </c>
      <c r="F50" s="34">
        <f t="shared" si="9"/>
        <v>17.382999999999996</v>
      </c>
      <c r="G50" s="34">
        <f t="shared" si="9"/>
        <v>17.670500000000004</v>
      </c>
      <c r="H50" s="34">
        <f t="shared" si="9"/>
        <v>17.957999999999998</v>
      </c>
      <c r="I50" s="34">
        <f t="shared" si="9"/>
        <v>-6.7545000000000073</v>
      </c>
      <c r="J50" s="34">
        <f t="shared" si="9"/>
        <v>74.165499999999994</v>
      </c>
      <c r="K50" s="34">
        <f t="shared" si="9"/>
        <v>-53.722000000000008</v>
      </c>
      <c r="L50" s="34">
        <f t="shared" si="9"/>
        <v>-48.722000000000008</v>
      </c>
      <c r="M50" s="34">
        <f t="shared" si="9"/>
        <v>78.418624999999992</v>
      </c>
      <c r="N50" s="34">
        <f t="shared" si="9"/>
        <v>-172.94125</v>
      </c>
      <c r="O50" s="34">
        <f t="shared" si="9"/>
        <v>82.058750000000003</v>
      </c>
      <c r="P50" s="34">
        <f t="shared" si="9"/>
        <v>82.058750000000003</v>
      </c>
      <c r="Q50" s="34">
        <f t="shared" si="9"/>
        <v>198.80899999999997</v>
      </c>
      <c r="R50" s="34">
        <f t="shared" si="9"/>
        <v>32.109000000000037</v>
      </c>
      <c r="S50" s="35"/>
      <c r="T50" s="57">
        <f>SUM(T35:T49)</f>
        <v>1770</v>
      </c>
      <c r="U50" s="57">
        <f>SUM(U35:U49)</f>
        <v>109.61800000000001</v>
      </c>
    </row>
    <row r="51" spans="1:21" ht="14.25" thickTop="1" thickBot="1" x14ac:dyDescent="0.25">
      <c r="D51" s="50"/>
      <c r="E51" s="14"/>
      <c r="F51" s="14"/>
      <c r="G51" s="14"/>
      <c r="H51" s="14"/>
      <c r="I51" s="14"/>
      <c r="J51" s="14"/>
      <c r="K51" s="14"/>
      <c r="L51" s="14"/>
      <c r="M51" s="14"/>
      <c r="N51" s="14"/>
      <c r="O51" s="14"/>
      <c r="P51" s="14"/>
      <c r="Q51" s="14"/>
      <c r="R51" s="14"/>
      <c r="S51" s="4"/>
    </row>
    <row r="52" spans="1:21" s="16" customFormat="1" ht="13.5" thickBot="1" x14ac:dyDescent="0.25">
      <c r="A52" s="17" t="s">
        <v>52</v>
      </c>
      <c r="B52" s="16" t="s">
        <v>23</v>
      </c>
      <c r="D52" s="52">
        <f>+D50</f>
        <v>86.840499999999992</v>
      </c>
      <c r="E52" s="36">
        <f>+D52+E50</f>
        <v>101.93599999999999</v>
      </c>
      <c r="F52" s="36">
        <f t="shared" ref="F52:R52" si="10">+E52+F50</f>
        <v>119.31899999999999</v>
      </c>
      <c r="G52" s="36">
        <f t="shared" si="10"/>
        <v>136.98949999999999</v>
      </c>
      <c r="H52" s="36">
        <f t="shared" si="10"/>
        <v>154.94749999999999</v>
      </c>
      <c r="I52" s="36">
        <f t="shared" si="10"/>
        <v>148.19299999999998</v>
      </c>
      <c r="J52" s="36">
        <f t="shared" si="10"/>
        <v>222.35849999999999</v>
      </c>
      <c r="K52" s="36">
        <f t="shared" si="10"/>
        <v>168.63649999999998</v>
      </c>
      <c r="L52" s="15">
        <f t="shared" si="10"/>
        <v>119.91449999999998</v>
      </c>
      <c r="M52" s="36">
        <f t="shared" si="10"/>
        <v>198.33312499999997</v>
      </c>
      <c r="N52" s="15">
        <f t="shared" si="10"/>
        <v>25.39187499999997</v>
      </c>
      <c r="O52" s="36">
        <f t="shared" si="10"/>
        <v>107.45062499999997</v>
      </c>
      <c r="P52" s="36">
        <f t="shared" si="10"/>
        <v>189.50937499999998</v>
      </c>
      <c r="Q52" s="36">
        <f t="shared" si="10"/>
        <v>388.31837499999995</v>
      </c>
      <c r="R52" s="36">
        <f t="shared" si="10"/>
        <v>420.42737499999998</v>
      </c>
      <c r="S52" s="35"/>
      <c r="T52" s="37"/>
      <c r="U52" s="18"/>
    </row>
    <row r="53" spans="1:21" ht="13.5" thickBot="1" x14ac:dyDescent="0.25">
      <c r="B53" s="55" t="s">
        <v>50</v>
      </c>
    </row>
    <row r="54" spans="1:21" ht="18.75" thickBot="1" x14ac:dyDescent="0.3">
      <c r="O54" s="19" t="s">
        <v>68</v>
      </c>
      <c r="P54" s="1" t="s">
        <v>58</v>
      </c>
      <c r="Q54" t="s">
        <v>57</v>
      </c>
      <c r="R54" s="14">
        <f>(+$E$6+$F$6)*2</f>
        <v>600</v>
      </c>
      <c r="S54" s="17" t="s">
        <v>67</v>
      </c>
      <c r="T54" s="71">
        <f>+T50/+(R54)</f>
        <v>2.95</v>
      </c>
    </row>
    <row r="55" spans="1:21" x14ac:dyDescent="0.2">
      <c r="O55" s="1"/>
      <c r="P55" s="1"/>
      <c r="T55" s="56"/>
    </row>
    <row r="56" spans="1:21" ht="13.5" thickBot="1" x14ac:dyDescent="0.25">
      <c r="T56" s="1" t="s">
        <v>62</v>
      </c>
      <c r="U56" s="58">
        <f>+U50*0.5</f>
        <v>54.809000000000005</v>
      </c>
    </row>
    <row r="57" spans="1:21" ht="18.75" thickBot="1" x14ac:dyDescent="0.3">
      <c r="O57" s="19" t="s">
        <v>59</v>
      </c>
      <c r="P57" s="1" t="s">
        <v>58</v>
      </c>
      <c r="Q57" t="s">
        <v>57</v>
      </c>
      <c r="R57" s="14">
        <f>(+$E$6+$F$6)</f>
        <v>300</v>
      </c>
      <c r="T57" s="24" t="s">
        <v>60</v>
      </c>
      <c r="U57" s="69">
        <f>+R57/U56</f>
        <v>5.4735536134576437</v>
      </c>
    </row>
    <row r="60" spans="1:21" x14ac:dyDescent="0.2">
      <c r="D60" s="60" t="s">
        <v>66</v>
      </c>
      <c r="E60" s="61"/>
    </row>
    <row r="61" spans="1:21" x14ac:dyDescent="0.2">
      <c r="D61" s="62" t="s">
        <v>24</v>
      </c>
      <c r="E61" s="63" t="s">
        <v>19</v>
      </c>
    </row>
    <row r="62" spans="1:21" x14ac:dyDescent="0.2">
      <c r="D62" s="6">
        <v>1</v>
      </c>
      <c r="E62" s="5">
        <f>10*25*0.0425</f>
        <v>10.625</v>
      </c>
      <c r="F62" t="s">
        <v>61</v>
      </c>
    </row>
    <row r="63" spans="1:21" x14ac:dyDescent="0.2">
      <c r="D63" s="6">
        <v>2</v>
      </c>
      <c r="E63" s="5">
        <f>6*1.25</f>
        <v>7.5</v>
      </c>
    </row>
    <row r="64" spans="1:21" x14ac:dyDescent="0.2">
      <c r="D64" s="6">
        <v>3</v>
      </c>
      <c r="E64" s="5">
        <f>203*0.0675</f>
        <v>13.702500000000001</v>
      </c>
    </row>
    <row r="65" spans="4:5" x14ac:dyDescent="0.2">
      <c r="D65" s="6">
        <v>5</v>
      </c>
      <c r="E65" s="5">
        <f>123*0.069</f>
        <v>8.4870000000000001</v>
      </c>
    </row>
    <row r="66" spans="4:5" x14ac:dyDescent="0.2">
      <c r="D66" s="6">
        <v>7</v>
      </c>
      <c r="E66" s="5">
        <f>3*0.05</f>
        <v>0.15000000000000002</v>
      </c>
    </row>
    <row r="68" spans="4:5" ht="13.5" thickBot="1" x14ac:dyDescent="0.25">
      <c r="D68" s="16" t="s">
        <v>37</v>
      </c>
      <c r="E68" s="59">
        <f>SUM(E62:E67)</f>
        <v>40.464500000000001</v>
      </c>
    </row>
    <row r="69" spans="4:5" ht="13.5" thickTop="1" x14ac:dyDescent="0.2"/>
  </sheetData>
  <phoneticPr fontId="7" type="noConversion"/>
  <pageMargins left="0.75" right="0.75" top="1" bottom="1" header="0.5" footer="0.5"/>
  <headerFooter alignWithMargins="0"/>
  <ignoredErrors>
    <ignoredError sqref="T41:T48" formulaRange="1"/>
    <ignoredError sqref="Q23:Q29" formula="1"/>
  </ignoredErrors>
  <legacy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15</vt:i4>
      </vt:variant>
    </vt:vector>
  </HeadingPairs>
  <TitlesOfParts>
    <vt:vector size="15" baseType="lpstr">
      <vt:lpstr>Y Concept</vt:lpstr>
      <vt:lpstr>Y Execution</vt:lpstr>
      <vt:lpstr>Y-2013-Q4</vt:lpstr>
      <vt:lpstr>Y-2013-Q3GlenRecap</vt:lpstr>
      <vt:lpstr>Y-2013-Q3</vt:lpstr>
      <vt:lpstr>Y-2013-Q2</vt:lpstr>
      <vt:lpstr>Y-2013-Q1</vt:lpstr>
      <vt:lpstr>Y-2012-Q4</vt:lpstr>
      <vt:lpstr>RECAP - Dec 20, 2012 PRO-FORMA</vt:lpstr>
      <vt:lpstr>YM-2012-Q3</vt:lpstr>
      <vt:lpstr>YM-2012-Q2</vt:lpstr>
      <vt:lpstr>YM-2012-Q1</vt:lpstr>
      <vt:lpstr>YM-2011-Q4</vt:lpstr>
      <vt:lpstr>Links</vt:lpstr>
      <vt:lpstr>YM Original</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Vic</dc:creator>
  <cp:lastModifiedBy>GlenReal3D</cp:lastModifiedBy>
  <cp:lastPrinted>2012-05-23T23:35:49Z</cp:lastPrinted>
  <dcterms:created xsi:type="dcterms:W3CDTF">2011-12-06T13:40:04Z</dcterms:created>
  <dcterms:modified xsi:type="dcterms:W3CDTF">2014-02-23T15:55:04Z</dcterms:modified>
</cp:coreProperties>
</file>